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8325" activeTab="5"/>
  </bookViews>
  <sheets>
    <sheet name="Титул" sheetId="9" r:id="rId1"/>
    <sheet name="ТИТУЛ 2" sheetId="10" state="hidden" r:id="rId2"/>
    <sheet name="на выход" sheetId="1" r:id="rId3"/>
    <sheet name="сводки БЖУ" sheetId="2" r:id="rId4"/>
    <sheet name="сводки по продуктам" sheetId="5" r:id="rId5"/>
    <sheet name="библиография" sheetId="7" r:id="rId6"/>
    <sheet name="Лист1" sheetId="8" state="hidden" r:id="rId7"/>
  </sheets>
  <definedNames>
    <definedName name="_xlnm.Print_Area" localSheetId="0">Титул!$B$51:$D$162</definedName>
  </definedNames>
  <calcPr calcId="124519"/>
</workbook>
</file>

<file path=xl/calcChain.xml><?xml version="1.0" encoding="utf-8"?>
<calcChain xmlns="http://schemas.openxmlformats.org/spreadsheetml/2006/main">
  <c r="E98" i="1"/>
  <c r="F159"/>
  <c r="G159"/>
  <c r="H159"/>
  <c r="I159"/>
  <c r="J159"/>
  <c r="K159"/>
  <c r="L159"/>
  <c r="M159"/>
  <c r="N159"/>
  <c r="O159"/>
  <c r="P159"/>
  <c r="E159"/>
  <c r="E119"/>
  <c r="E50"/>
  <c r="E24"/>
  <c r="E13"/>
  <c r="E217"/>
  <c r="F154" l="1"/>
  <c r="G154"/>
  <c r="H154"/>
  <c r="I154"/>
  <c r="J154"/>
  <c r="K154"/>
  <c r="L154"/>
  <c r="M154"/>
  <c r="N154"/>
  <c r="O154"/>
  <c r="P154"/>
  <c r="E154"/>
  <c r="F334" l="1"/>
  <c r="G334"/>
  <c r="H334"/>
  <c r="I334"/>
  <c r="J334"/>
  <c r="K334"/>
  <c r="L334"/>
  <c r="M334"/>
  <c r="N334"/>
  <c r="O334"/>
  <c r="P334"/>
  <c r="E334"/>
  <c r="J325"/>
  <c r="M325"/>
  <c r="P320"/>
  <c r="O320"/>
  <c r="N320"/>
  <c r="N325" s="1"/>
  <c r="M320"/>
  <c r="L320"/>
  <c r="K320"/>
  <c r="J320"/>
  <c r="I320"/>
  <c r="H320"/>
  <c r="G320"/>
  <c r="F320"/>
  <c r="F325" s="1"/>
  <c r="E320"/>
  <c r="P315"/>
  <c r="P325" s="1"/>
  <c r="O315"/>
  <c r="O325" s="1"/>
  <c r="N315"/>
  <c r="M315"/>
  <c r="L315"/>
  <c r="L325" s="1"/>
  <c r="K315"/>
  <c r="K325" s="1"/>
  <c r="J315"/>
  <c r="I315"/>
  <c r="I325" s="1"/>
  <c r="H315"/>
  <c r="H325" s="1"/>
  <c r="G315"/>
  <c r="G325" s="1"/>
  <c r="F315"/>
  <c r="E315"/>
  <c r="E325" s="1"/>
  <c r="H311"/>
  <c r="I311"/>
  <c r="L311"/>
  <c r="M311"/>
  <c r="P311"/>
  <c r="E311"/>
  <c r="E309"/>
  <c r="P309"/>
  <c r="O309"/>
  <c r="O311" s="1"/>
  <c r="N309"/>
  <c r="N311" s="1"/>
  <c r="M309"/>
  <c r="L309"/>
  <c r="K309"/>
  <c r="K311" s="1"/>
  <c r="J309"/>
  <c r="J311" s="1"/>
  <c r="I309"/>
  <c r="H309"/>
  <c r="G309"/>
  <c r="G311" s="1"/>
  <c r="F309"/>
  <c r="F311" s="1"/>
  <c r="F294"/>
  <c r="G294"/>
  <c r="H294"/>
  <c r="I294"/>
  <c r="J294"/>
  <c r="K294"/>
  <c r="L294"/>
  <c r="M294"/>
  <c r="N294"/>
  <c r="O294"/>
  <c r="P294"/>
  <c r="E294"/>
  <c r="F290"/>
  <c r="G290"/>
  <c r="H290"/>
  <c r="I290"/>
  <c r="J290"/>
  <c r="K290"/>
  <c r="L290"/>
  <c r="M290"/>
  <c r="N290"/>
  <c r="O290"/>
  <c r="P290"/>
  <c r="E290"/>
  <c r="E275"/>
  <c r="E281" s="1"/>
  <c r="P275"/>
  <c r="P281" s="1"/>
  <c r="O275"/>
  <c r="O281" s="1"/>
  <c r="O295" s="1"/>
  <c r="N275"/>
  <c r="N281" s="1"/>
  <c r="M275"/>
  <c r="M281" s="1"/>
  <c r="L275"/>
  <c r="L281" s="1"/>
  <c r="K275"/>
  <c r="K281" s="1"/>
  <c r="K295" s="1"/>
  <c r="J275"/>
  <c r="J281" s="1"/>
  <c r="I275"/>
  <c r="I281" s="1"/>
  <c r="H275"/>
  <c r="H281" s="1"/>
  <c r="G275"/>
  <c r="G281" s="1"/>
  <c r="F275"/>
  <c r="F281" s="1"/>
  <c r="F263"/>
  <c r="G263"/>
  <c r="H263"/>
  <c r="I263"/>
  <c r="J263"/>
  <c r="K263"/>
  <c r="L263"/>
  <c r="M263"/>
  <c r="N263"/>
  <c r="O263"/>
  <c r="P263"/>
  <c r="E263"/>
  <c r="P252"/>
  <c r="P259" s="1"/>
  <c r="O252"/>
  <c r="O259" s="1"/>
  <c r="N252"/>
  <c r="N259" s="1"/>
  <c r="M252"/>
  <c r="M259" s="1"/>
  <c r="L252"/>
  <c r="L259" s="1"/>
  <c r="K252"/>
  <c r="K259" s="1"/>
  <c r="J252"/>
  <c r="J259" s="1"/>
  <c r="I252"/>
  <c r="I259" s="1"/>
  <c r="H252"/>
  <c r="H259" s="1"/>
  <c r="G252"/>
  <c r="G259" s="1"/>
  <c r="F252"/>
  <c r="F259" s="1"/>
  <c r="E252"/>
  <c r="E259" s="1"/>
  <c r="P242"/>
  <c r="P248" s="1"/>
  <c r="O242"/>
  <c r="O248" s="1"/>
  <c r="N242"/>
  <c r="N248" s="1"/>
  <c r="M242"/>
  <c r="L242"/>
  <c r="L248" s="1"/>
  <c r="K242"/>
  <c r="K248" s="1"/>
  <c r="J242"/>
  <c r="J248" s="1"/>
  <c r="I242"/>
  <c r="H242"/>
  <c r="H248" s="1"/>
  <c r="G242"/>
  <c r="G248" s="1"/>
  <c r="F242"/>
  <c r="F248" s="1"/>
  <c r="E242"/>
  <c r="F228"/>
  <c r="F230" s="1"/>
  <c r="G228"/>
  <c r="G230" s="1"/>
  <c r="H228"/>
  <c r="H230" s="1"/>
  <c r="I228"/>
  <c r="I230" s="1"/>
  <c r="J228"/>
  <c r="J230" s="1"/>
  <c r="K228"/>
  <c r="K230" s="1"/>
  <c r="L228"/>
  <c r="L230" s="1"/>
  <c r="M228"/>
  <c r="M230" s="1"/>
  <c r="N228"/>
  <c r="N230" s="1"/>
  <c r="O228"/>
  <c r="O230" s="1"/>
  <c r="P228"/>
  <c r="P230" s="1"/>
  <c r="E228"/>
  <c r="E230" s="1"/>
  <c r="P217"/>
  <c r="O217"/>
  <c r="N217"/>
  <c r="M217"/>
  <c r="L217"/>
  <c r="K217"/>
  <c r="J217"/>
  <c r="I217"/>
  <c r="H217"/>
  <c r="G217"/>
  <c r="F217"/>
  <c r="F212"/>
  <c r="G212"/>
  <c r="H212"/>
  <c r="I212"/>
  <c r="J212"/>
  <c r="K212"/>
  <c r="L212"/>
  <c r="M212"/>
  <c r="N212"/>
  <c r="O212"/>
  <c r="P212"/>
  <c r="E212"/>
  <c r="F208"/>
  <c r="F213" s="1"/>
  <c r="F231" s="1"/>
  <c r="G208"/>
  <c r="G213" s="1"/>
  <c r="H208"/>
  <c r="H213" s="1"/>
  <c r="H231" s="1"/>
  <c r="I208"/>
  <c r="I213" s="1"/>
  <c r="I231" s="1"/>
  <c r="J208"/>
  <c r="J213" s="1"/>
  <c r="J231" s="1"/>
  <c r="K208"/>
  <c r="K213" s="1"/>
  <c r="L208"/>
  <c r="L213" s="1"/>
  <c r="L231" s="1"/>
  <c r="M208"/>
  <c r="M213" s="1"/>
  <c r="N208"/>
  <c r="N213" s="1"/>
  <c r="N231" s="1"/>
  <c r="O208"/>
  <c r="O213" s="1"/>
  <c r="P208"/>
  <c r="P213" s="1"/>
  <c r="P231" s="1"/>
  <c r="E208"/>
  <c r="E213" s="1"/>
  <c r="E231" s="1"/>
  <c r="F195"/>
  <c r="G195"/>
  <c r="H195"/>
  <c r="I195"/>
  <c r="J195"/>
  <c r="K195"/>
  <c r="L195"/>
  <c r="M195"/>
  <c r="N195"/>
  <c r="O195"/>
  <c r="P195"/>
  <c r="E195"/>
  <c r="F181"/>
  <c r="F190" s="1"/>
  <c r="G181"/>
  <c r="G190" s="1"/>
  <c r="H181"/>
  <c r="H190" s="1"/>
  <c r="I181"/>
  <c r="I190" s="1"/>
  <c r="J181"/>
  <c r="J190" s="1"/>
  <c r="K181"/>
  <c r="K190" s="1"/>
  <c r="L181"/>
  <c r="L190" s="1"/>
  <c r="M181"/>
  <c r="M190" s="1"/>
  <c r="N181"/>
  <c r="N190" s="1"/>
  <c r="O181"/>
  <c r="O190" s="1"/>
  <c r="P181"/>
  <c r="P190" s="1"/>
  <c r="E181"/>
  <c r="E190" s="1"/>
  <c r="F177"/>
  <c r="G177"/>
  <c r="H177"/>
  <c r="I177"/>
  <c r="J177"/>
  <c r="K177"/>
  <c r="L177"/>
  <c r="M177"/>
  <c r="N177"/>
  <c r="O177"/>
  <c r="P177"/>
  <c r="E177"/>
  <c r="F163"/>
  <c r="G163"/>
  <c r="H163"/>
  <c r="I163"/>
  <c r="J163"/>
  <c r="K163"/>
  <c r="L163"/>
  <c r="M163"/>
  <c r="N163"/>
  <c r="O163"/>
  <c r="P163"/>
  <c r="E163"/>
  <c r="F148"/>
  <c r="G148"/>
  <c r="H148"/>
  <c r="I148"/>
  <c r="J148"/>
  <c r="J164" s="1"/>
  <c r="K148"/>
  <c r="K164" s="1"/>
  <c r="L148"/>
  <c r="L164" s="1"/>
  <c r="M148"/>
  <c r="M164" s="1"/>
  <c r="N148"/>
  <c r="N164" s="1"/>
  <c r="O148"/>
  <c r="O164" s="1"/>
  <c r="P148"/>
  <c r="E148"/>
  <c r="E164" s="1"/>
  <c r="C9" i="2" s="1"/>
  <c r="F132" i="1"/>
  <c r="G132"/>
  <c r="H132"/>
  <c r="I132"/>
  <c r="J132"/>
  <c r="K132"/>
  <c r="L132"/>
  <c r="M132"/>
  <c r="N132"/>
  <c r="O132"/>
  <c r="P132"/>
  <c r="E132"/>
  <c r="F128"/>
  <c r="G128"/>
  <c r="H128"/>
  <c r="I128"/>
  <c r="J128"/>
  <c r="K128"/>
  <c r="L128"/>
  <c r="M128"/>
  <c r="N128"/>
  <c r="O128"/>
  <c r="P128"/>
  <c r="E128"/>
  <c r="F114"/>
  <c r="F119" s="1"/>
  <c r="F133" s="1"/>
  <c r="G114"/>
  <c r="G119" s="1"/>
  <c r="G133" s="1"/>
  <c r="H114"/>
  <c r="H119" s="1"/>
  <c r="I114"/>
  <c r="I119" s="1"/>
  <c r="I133" s="1"/>
  <c r="J114"/>
  <c r="J119" s="1"/>
  <c r="J133" s="1"/>
  <c r="K114"/>
  <c r="K119" s="1"/>
  <c r="K133" s="1"/>
  <c r="L114"/>
  <c r="L119" s="1"/>
  <c r="L133" s="1"/>
  <c r="M114"/>
  <c r="M119" s="1"/>
  <c r="M133" s="1"/>
  <c r="N114"/>
  <c r="N119" s="1"/>
  <c r="N133" s="1"/>
  <c r="O114"/>
  <c r="O119" s="1"/>
  <c r="O133" s="1"/>
  <c r="P114"/>
  <c r="P119" s="1"/>
  <c r="P133" s="1"/>
  <c r="E114"/>
  <c r="E133" s="1"/>
  <c r="F102"/>
  <c r="G102"/>
  <c r="H102"/>
  <c r="I102"/>
  <c r="J102"/>
  <c r="K102"/>
  <c r="L102"/>
  <c r="M102"/>
  <c r="N102"/>
  <c r="O102"/>
  <c r="P102"/>
  <c r="E102"/>
  <c r="F93"/>
  <c r="F98" s="1"/>
  <c r="G93"/>
  <c r="G98" s="1"/>
  <c r="H93"/>
  <c r="H98" s="1"/>
  <c r="I93"/>
  <c r="I98" s="1"/>
  <c r="J93"/>
  <c r="J98" s="1"/>
  <c r="K93"/>
  <c r="K98" s="1"/>
  <c r="L93"/>
  <c r="L98" s="1"/>
  <c r="M93"/>
  <c r="M98" s="1"/>
  <c r="N93"/>
  <c r="N98" s="1"/>
  <c r="O93"/>
  <c r="O98" s="1"/>
  <c r="P93"/>
  <c r="P98" s="1"/>
  <c r="E93"/>
  <c r="E80"/>
  <c r="E84" s="1"/>
  <c r="P80"/>
  <c r="P84" s="1"/>
  <c r="O80"/>
  <c r="O84" s="1"/>
  <c r="O103" s="1"/>
  <c r="N80"/>
  <c r="N84" s="1"/>
  <c r="N103" s="1"/>
  <c r="M80"/>
  <c r="M84" s="1"/>
  <c r="L80"/>
  <c r="L84" s="1"/>
  <c r="K80"/>
  <c r="K84" s="1"/>
  <c r="J80"/>
  <c r="J84" s="1"/>
  <c r="J103" s="1"/>
  <c r="I80"/>
  <c r="I84" s="1"/>
  <c r="H80"/>
  <c r="H84" s="1"/>
  <c r="G80"/>
  <c r="G84" s="1"/>
  <c r="F80"/>
  <c r="F84" s="1"/>
  <c r="F103" s="1"/>
  <c r="N335" l="1"/>
  <c r="J335"/>
  <c r="F335"/>
  <c r="D14" i="2" s="1"/>
  <c r="O335" i="1"/>
  <c r="K335"/>
  <c r="P335"/>
  <c r="L335"/>
  <c r="H335"/>
  <c r="E335"/>
  <c r="M335"/>
  <c r="I335"/>
  <c r="I295"/>
  <c r="M295"/>
  <c r="E295"/>
  <c r="H295"/>
  <c r="L295"/>
  <c r="P295"/>
  <c r="E248"/>
  <c r="E264" s="1"/>
  <c r="I248"/>
  <c r="I264" s="1"/>
  <c r="M248"/>
  <c r="M264" s="1"/>
  <c r="P264"/>
  <c r="O231"/>
  <c r="K231"/>
  <c r="G231"/>
  <c r="E11" i="2" s="1"/>
  <c r="I164" i="1"/>
  <c r="P164"/>
  <c r="G103"/>
  <c r="G335"/>
  <c r="E14" i="2" s="1"/>
  <c r="N295" i="1"/>
  <c r="J295"/>
  <c r="F295"/>
  <c r="H164"/>
  <c r="F164"/>
  <c r="D9" i="2" s="1"/>
  <c r="G295" i="1"/>
  <c r="G164"/>
  <c r="H264"/>
  <c r="L264"/>
  <c r="H133"/>
  <c r="F264"/>
  <c r="J264"/>
  <c r="N264"/>
  <c r="G264"/>
  <c r="E12" i="2" s="1"/>
  <c r="K264" i="1"/>
  <c r="O264"/>
  <c r="M231"/>
  <c r="H103"/>
  <c r="L103"/>
  <c r="I103"/>
  <c r="M103"/>
  <c r="E103"/>
  <c r="P103"/>
  <c r="K103"/>
  <c r="F67" l="1"/>
  <c r="G67"/>
  <c r="H67"/>
  <c r="I67"/>
  <c r="J67"/>
  <c r="K67"/>
  <c r="L67"/>
  <c r="M67"/>
  <c r="N67"/>
  <c r="O67"/>
  <c r="P67"/>
  <c r="E67"/>
  <c r="F54" l="1"/>
  <c r="F61" s="1"/>
  <c r="G54"/>
  <c r="G61" s="1"/>
  <c r="H54"/>
  <c r="H61" s="1"/>
  <c r="I54"/>
  <c r="I61" s="1"/>
  <c r="J54"/>
  <c r="J61" s="1"/>
  <c r="K54"/>
  <c r="K61" s="1"/>
  <c r="L54"/>
  <c r="L61" s="1"/>
  <c r="M54"/>
  <c r="M61" s="1"/>
  <c r="N54"/>
  <c r="N61" s="1"/>
  <c r="O54"/>
  <c r="O61" s="1"/>
  <c r="P54"/>
  <c r="P61" s="1"/>
  <c r="E54"/>
  <c r="E61" s="1"/>
  <c r="E49"/>
  <c r="P49"/>
  <c r="O49"/>
  <c r="N49"/>
  <c r="M49"/>
  <c r="L49"/>
  <c r="K49"/>
  <c r="J49"/>
  <c r="I49"/>
  <c r="H49"/>
  <c r="G49"/>
  <c r="F49"/>
  <c r="E44"/>
  <c r="P44"/>
  <c r="O44"/>
  <c r="N44"/>
  <c r="M44"/>
  <c r="L44"/>
  <c r="K44"/>
  <c r="J44"/>
  <c r="I44"/>
  <c r="H44"/>
  <c r="G44"/>
  <c r="F44"/>
  <c r="E41"/>
  <c r="F41"/>
  <c r="F50" s="1"/>
  <c r="G41"/>
  <c r="G50" s="1"/>
  <c r="H41"/>
  <c r="I41"/>
  <c r="I50" s="1"/>
  <c r="J41"/>
  <c r="J50" s="1"/>
  <c r="K41"/>
  <c r="K50" s="1"/>
  <c r="L41"/>
  <c r="M41"/>
  <c r="M50" s="1"/>
  <c r="N41"/>
  <c r="N50" s="1"/>
  <c r="O41"/>
  <c r="O50" s="1"/>
  <c r="P41"/>
  <c r="F29"/>
  <c r="G29"/>
  <c r="H29"/>
  <c r="I29"/>
  <c r="J29"/>
  <c r="K29"/>
  <c r="L29"/>
  <c r="M29"/>
  <c r="N29"/>
  <c r="O29"/>
  <c r="P29"/>
  <c r="E28"/>
  <c r="E29" s="1"/>
  <c r="F17"/>
  <c r="F24" s="1"/>
  <c r="G17"/>
  <c r="G24" s="1"/>
  <c r="H17"/>
  <c r="H24" s="1"/>
  <c r="I17"/>
  <c r="I24" s="1"/>
  <c r="J17"/>
  <c r="J24" s="1"/>
  <c r="K17"/>
  <c r="K24" s="1"/>
  <c r="L17"/>
  <c r="L24" s="1"/>
  <c r="M17"/>
  <c r="M24" s="1"/>
  <c r="N17"/>
  <c r="N24" s="1"/>
  <c r="O17"/>
  <c r="O24" s="1"/>
  <c r="P17"/>
  <c r="P24" s="1"/>
  <c r="E17"/>
  <c r="F13"/>
  <c r="G13"/>
  <c r="H13"/>
  <c r="I13"/>
  <c r="J13"/>
  <c r="K13"/>
  <c r="L13"/>
  <c r="M13"/>
  <c r="N13"/>
  <c r="O13"/>
  <c r="P13"/>
  <c r="J15" i="8"/>
  <c r="I15"/>
  <c r="I14"/>
  <c r="I13"/>
  <c r="H15"/>
  <c r="H14"/>
  <c r="H13"/>
  <c r="G15"/>
  <c r="G14"/>
  <c r="G13"/>
  <c r="F15"/>
  <c r="F14"/>
  <c r="F13"/>
  <c r="E15"/>
  <c r="E14"/>
  <c r="E13"/>
  <c r="D15"/>
  <c r="C15"/>
  <c r="D14"/>
  <c r="C14"/>
  <c r="D13"/>
  <c r="C13"/>
  <c r="J14"/>
  <c r="J13"/>
  <c r="M68" i="1" l="1"/>
  <c r="I68"/>
  <c r="E68"/>
  <c r="J68"/>
  <c r="O68"/>
  <c r="K68"/>
  <c r="G68"/>
  <c r="N68"/>
  <c r="F68"/>
  <c r="P50"/>
  <c r="P68" s="1"/>
  <c r="L50"/>
  <c r="L68" s="1"/>
  <c r="H50"/>
  <c r="H68" s="1"/>
  <c r="N30"/>
  <c r="F30"/>
  <c r="J30"/>
  <c r="P30"/>
  <c r="L30"/>
  <c r="H30"/>
  <c r="E30"/>
  <c r="M30"/>
  <c r="I30"/>
  <c r="O30"/>
  <c r="K30"/>
  <c r="G30"/>
  <c r="F16" i="8"/>
  <c r="I16"/>
  <c r="G16"/>
  <c r="H16"/>
  <c r="J16"/>
  <c r="C16"/>
  <c r="E16"/>
  <c r="D16"/>
  <c r="J7" l="1"/>
  <c r="I7"/>
  <c r="H7"/>
  <c r="G7"/>
  <c r="F7"/>
  <c r="E7"/>
  <c r="D7"/>
  <c r="C7"/>
  <c r="J6"/>
  <c r="I6"/>
  <c r="H6"/>
  <c r="G6"/>
  <c r="F6"/>
  <c r="E6"/>
  <c r="D6"/>
  <c r="C6"/>
  <c r="J5"/>
  <c r="J8" s="1"/>
  <c r="I5"/>
  <c r="I8" s="1"/>
  <c r="H5"/>
  <c r="H8" s="1"/>
  <c r="G5"/>
  <c r="F5"/>
  <c r="F8" s="1"/>
  <c r="E5"/>
  <c r="E8" s="1"/>
  <c r="D5"/>
  <c r="D8" s="1"/>
  <c r="C5"/>
  <c r="C8" s="1"/>
  <c r="G8" l="1"/>
  <c r="D13" i="2" l="1"/>
  <c r="E13"/>
  <c r="G13"/>
  <c r="H13"/>
  <c r="J13"/>
  <c r="L13"/>
  <c r="M13"/>
  <c r="N13"/>
  <c r="F13"/>
  <c r="E9"/>
  <c r="H10" l="1"/>
  <c r="D10"/>
  <c r="L8"/>
  <c r="H8"/>
  <c r="M8"/>
  <c r="M10"/>
  <c r="G10"/>
  <c r="L14"/>
  <c r="H14"/>
  <c r="I9"/>
  <c r="F9"/>
  <c r="L6"/>
  <c r="J12"/>
  <c r="F12"/>
  <c r="N14"/>
  <c r="M12"/>
  <c r="N8"/>
  <c r="F10"/>
  <c r="D12"/>
  <c r="H12"/>
  <c r="C11"/>
  <c r="L12"/>
  <c r="E8"/>
  <c r="N12"/>
  <c r="I11"/>
  <c r="I8"/>
  <c r="N10"/>
  <c r="D8"/>
  <c r="I14"/>
  <c r="I13"/>
  <c r="L10"/>
  <c r="F5"/>
  <c r="G11"/>
  <c r="N11"/>
  <c r="J11"/>
  <c r="F11"/>
  <c r="M11"/>
  <c r="L11"/>
  <c r="H11"/>
  <c r="D11"/>
  <c r="M9"/>
  <c r="N9"/>
  <c r="L9"/>
  <c r="J14"/>
  <c r="F14"/>
  <c r="H9"/>
  <c r="C5"/>
  <c r="J10"/>
  <c r="G12"/>
  <c r="N7"/>
  <c r="K14"/>
  <c r="L7"/>
  <c r="D6"/>
  <c r="K12"/>
  <c r="C10"/>
  <c r="M6"/>
  <c r="H6"/>
  <c r="K6"/>
  <c r="J6"/>
  <c r="I6"/>
  <c r="N5"/>
  <c r="M5"/>
  <c r="L5"/>
  <c r="K5"/>
  <c r="J5"/>
  <c r="H5"/>
  <c r="G5"/>
  <c r="E5"/>
  <c r="G14"/>
  <c r="K13"/>
  <c r="C13"/>
  <c r="I12"/>
  <c r="C12"/>
  <c r="K9"/>
  <c r="J9"/>
  <c r="G9"/>
  <c r="J8"/>
  <c r="F8"/>
  <c r="C14"/>
  <c r="M14"/>
  <c r="C8"/>
  <c r="K10"/>
  <c r="K8"/>
  <c r="K7"/>
  <c r="K11"/>
  <c r="N6"/>
  <c r="I5"/>
  <c r="G8"/>
  <c r="E10"/>
  <c r="I10"/>
  <c r="E6"/>
  <c r="D5"/>
  <c r="L15" l="1"/>
  <c r="M7"/>
  <c r="M15" s="1"/>
  <c r="J7"/>
  <c r="J15" s="1"/>
  <c r="G6"/>
  <c r="G7"/>
  <c r="H7"/>
  <c r="H15" s="1"/>
  <c r="C6"/>
  <c r="D7"/>
  <c r="D15" s="1"/>
  <c r="F6"/>
  <c r="F7"/>
  <c r="E7"/>
  <c r="E15" s="1"/>
  <c r="I7"/>
  <c r="I15" s="1"/>
  <c r="N15"/>
  <c r="K15"/>
  <c r="R6" l="1"/>
  <c r="R7" s="1"/>
  <c r="S6"/>
  <c r="S7" s="1"/>
  <c r="G15"/>
  <c r="F15"/>
  <c r="T6" s="1"/>
  <c r="T7" s="1"/>
  <c r="C7"/>
  <c r="C15" s="1"/>
  <c r="Q6" l="1"/>
  <c r="Q7" s="1"/>
</calcChain>
</file>

<file path=xl/sharedStrings.xml><?xml version="1.0" encoding="utf-8"?>
<sst xmlns="http://schemas.openxmlformats.org/spreadsheetml/2006/main" count="983" uniqueCount="334">
  <si>
    <t>№ рец.</t>
  </si>
  <si>
    <t>Наименование блюда</t>
  </si>
  <si>
    <t>Масса порции, г</t>
  </si>
  <si>
    <t>Пищевые вещества, (г)</t>
  </si>
  <si>
    <t>Энергетическая ценность, (ккал)</t>
  </si>
  <si>
    <t>Витамины, (мг)</t>
  </si>
  <si>
    <t>Минеральные вещества, (мг)</t>
  </si>
  <si>
    <t>Б</t>
  </si>
  <si>
    <t>Ж</t>
  </si>
  <si>
    <t>У</t>
  </si>
  <si>
    <t>С</t>
  </si>
  <si>
    <t>А</t>
  </si>
  <si>
    <t>Е</t>
  </si>
  <si>
    <t>Ca</t>
  </si>
  <si>
    <t>P</t>
  </si>
  <si>
    <t>Mg</t>
  </si>
  <si>
    <t>Fe</t>
  </si>
  <si>
    <t>Завтрак</t>
  </si>
  <si>
    <t>Итого</t>
  </si>
  <si>
    <t>Обед</t>
  </si>
  <si>
    <t>Хлеб пшеничный</t>
  </si>
  <si>
    <t>Хлеб ржано-пшеничный</t>
  </si>
  <si>
    <t>Полдник</t>
  </si>
  <si>
    <t>Итого за 1 день</t>
  </si>
  <si>
    <t>Батон пектиновый</t>
  </si>
  <si>
    <t>Итого за 2 день</t>
  </si>
  <si>
    <t>Чай с сахаром</t>
  </si>
  <si>
    <t>Итого за 3 день</t>
  </si>
  <si>
    <t>Итого за 4 день</t>
  </si>
  <si>
    <t>Макароны с сыром</t>
  </si>
  <si>
    <t>Итого за 5 день</t>
  </si>
  <si>
    <t>Итого за 6 день</t>
  </si>
  <si>
    <t>Итого за 7 день</t>
  </si>
  <si>
    <t>Итого за 8 день</t>
  </si>
  <si>
    <t>Итого за 9 день</t>
  </si>
  <si>
    <t>Итого за 10 день</t>
  </si>
  <si>
    <t>День недели</t>
  </si>
  <si>
    <t>Энергетическая ценность на 10 дней, (ккал)</t>
  </si>
  <si>
    <r>
      <t>В</t>
    </r>
    <r>
      <rPr>
        <vertAlign val="subscript"/>
        <sz val="12"/>
        <color theme="1"/>
        <rFont val="Times New Roman"/>
        <family val="1"/>
        <charset val="204"/>
      </rPr>
      <t>1</t>
    </r>
  </si>
  <si>
    <t>Всего за 10 дней</t>
  </si>
  <si>
    <t>Сводная таблица о потреблении  пищевых веществ и энергии обучающихся образовательных учреждений за 10 дней</t>
  </si>
  <si>
    <t xml:space="preserve">Энергетическая ценность </t>
  </si>
  <si>
    <t xml:space="preserve"> Ккал</t>
  </si>
  <si>
    <t>Нормы физиологических потребностей в энергии и пищевых веществах для детей 7-11 лет, (СанПиН 2.4.5.2409-08)</t>
  </si>
  <si>
    <t>46-54,5</t>
  </si>
  <si>
    <t>47-55</t>
  </si>
  <si>
    <t>201-235</t>
  </si>
  <si>
    <t>1410-1645</t>
  </si>
  <si>
    <t>Итого за весь период</t>
  </si>
  <si>
    <t>Среднее значение за период</t>
  </si>
  <si>
    <t>Суп картофельный с горохом</t>
  </si>
  <si>
    <t>Компот из свежих плодов (яблок)</t>
  </si>
  <si>
    <t xml:space="preserve">Омлет натуральный </t>
  </si>
  <si>
    <t>Наггетсы куриные</t>
  </si>
  <si>
    <t>Кисель ягодный</t>
  </si>
  <si>
    <t>Среднее по группе:</t>
  </si>
  <si>
    <t>Какао с молоком</t>
  </si>
  <si>
    <t>сметана</t>
  </si>
  <si>
    <t>Компот из фруктов и ягод с/м</t>
  </si>
  <si>
    <t>Компот из смеси сухофруктов</t>
  </si>
  <si>
    <t>54-3г-2020 [2]</t>
  </si>
  <si>
    <t>Среднесуточный набор пищевых продуктов за 10 дней</t>
  </si>
  <si>
    <t>к СанПиН2.3/2.4.3590-20</t>
  </si>
  <si>
    <t>№п/п</t>
  </si>
  <si>
    <t>Наименование продуктов</t>
  </si>
  <si>
    <t>Среднесуточные нормы</t>
  </si>
  <si>
    <t>Норма за 10 дней</t>
  </si>
  <si>
    <t>%</t>
  </si>
  <si>
    <t>Недостаток, г</t>
  </si>
  <si>
    <t>Избыток, г</t>
  </si>
  <si>
    <t xml:space="preserve">Хлеб </t>
  </si>
  <si>
    <t>-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</si>
  <si>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</si>
  <si>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</si>
  <si>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</si>
  <si>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</si>
  <si>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</si>
  <si>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</si>
  <si>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шиповник, кисель</t>
  </si>
  <si>
    <t xml:space="preserve">Соки плодоовощные, напитки витаминизированные </t>
  </si>
  <si>
    <t>Мясо жилованное 1 кат. (нетто)</t>
  </si>
  <si>
    <t>Цыплята 1 кат. (нетто)</t>
  </si>
  <si>
    <t>Рыба-филе (нетто)</t>
  </si>
  <si>
    <t xml:space="preserve">Молоко </t>
  </si>
  <si>
    <t>Творог 9%</t>
  </si>
  <si>
    <t>Сыр</t>
  </si>
  <si>
    <t>Сметана 15%</t>
  </si>
  <si>
    <t>Масло сливочное</t>
  </si>
  <si>
    <t>Масло растительное</t>
  </si>
  <si>
    <t>Яйцо</t>
  </si>
  <si>
    <t>1шт. (40)</t>
  </si>
  <si>
    <t>Сахар</t>
  </si>
  <si>
    <t>Кондитерские изделия</t>
  </si>
  <si>
    <t>Чай</t>
  </si>
  <si>
    <t>Дрожжи хлебопекарные</t>
  </si>
  <si>
    <t>Соль</t>
  </si>
  <si>
    <t>Получено фактически</t>
  </si>
  <si>
    <t>СОГЛАСОВАНО:</t>
  </si>
  <si>
    <t>УТВЕРЖДАЮ:</t>
  </si>
  <si>
    <t>Примерное десятидневное меню</t>
  </si>
  <si>
    <t xml:space="preserve"> ___________________ Д.С. Семикопенко </t>
  </si>
  <si>
    <t>Среднесуточная норма 60% (завтрак, обед, полдник)</t>
  </si>
  <si>
    <t>Библиография</t>
  </si>
  <si>
    <t>1.Сборник рецептур блюд и кулинарных изделий: Для предприятий общественного питания /  Авт.-сост.: А. И. Здобнов, В. А. Цыганенко, М. И. Пересичный. – К. : Арий, М.: Лада, 2008. – 688 с.</t>
  </si>
  <si>
    <t>2. Сборник рецептур блюд и типовых меню для организации питания детей школьного возраста / ред. совет: ФБУН «Новосибирский НИИ гигиены» Роспотребнадзора (И.И. Новикова и др.) и др., 2021. – 289 с.</t>
  </si>
  <si>
    <t>3. Сборник рецептур блюд и типовых меню для организации питания обучающихся 1-4 классов общеобразовательных организаций / ред. совет: ФБУН «Новосибирский НИИ гигиены» Роспотребнадзора (И.И. Новикова и др.) и др., 2021. – 192 с.</t>
  </si>
  <si>
    <t>4.Сборник технических нормативов – Сборник рецептур на продукцию для обучающихся во всех образовательных учреждениях / Под ред. М.П. Могильного и В.А. Тутельяна. – М.: ДеЛи плюс, 2017. – 544 с.</t>
  </si>
  <si>
    <t>5.Сборник технических нормативов – Сборник рецептур на продукцию для питания детей в дошкольных образовательных организациях / Под ред. М.П. Могильного и  В.А.Тутельяна.- М.: ДеЛи  плюс , 2015 .-640 с.</t>
  </si>
  <si>
    <t>6. Справочник «Химический состав российских пищевых продуктов»/ Под ред. И. М. Скурихина, В. А. Тутельяна. – М. : ДеЛи принт, 2002. – 236 с.</t>
  </si>
  <si>
    <t>__________________________________________________________________________________________________</t>
  </si>
  <si>
    <t>Пояснение</t>
  </si>
  <si>
    <t>Запеканка из творога с повидлом</t>
  </si>
  <si>
    <t>Борщ с капустой и картофелем со сметаной</t>
  </si>
  <si>
    <r>
      <t>День:</t>
    </r>
    <r>
      <rPr>
        <sz val="14"/>
        <color theme="1"/>
        <rFont val="Times New Roman"/>
        <family val="1"/>
        <charset val="204"/>
      </rPr>
      <t xml:space="preserve"> первый</t>
    </r>
  </si>
  <si>
    <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</si>
  <si>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>Возрастная категория:</t>
    </r>
    <r>
      <rPr>
        <sz val="14"/>
        <color theme="1"/>
        <rFont val="Times New Roman"/>
        <family val="1"/>
        <charset val="204"/>
      </rPr>
      <t xml:space="preserve"> с 7 до 11 лет</t>
    </r>
  </si>
  <si>
    <r>
      <t>В</t>
    </r>
    <r>
      <rPr>
        <b/>
        <vertAlign val="subscript"/>
        <sz val="14"/>
        <rFont val="Times New Roman"/>
        <family val="1"/>
        <charset val="204"/>
      </rPr>
      <t>1</t>
    </r>
  </si>
  <si>
    <r>
      <t xml:space="preserve">День: </t>
    </r>
    <r>
      <rPr>
        <sz val="14"/>
        <color theme="1"/>
        <rFont val="Times New Roman"/>
        <family val="1"/>
        <charset val="204"/>
      </rPr>
      <t>второй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</si>
  <si>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третий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</si>
  <si>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четвертый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</si>
  <si>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пятый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</si>
  <si>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шестой</t>
    </r>
  </si>
  <si>
    <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</si>
  <si>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r>
      <t>День:</t>
    </r>
    <r>
      <rPr>
        <sz val="14"/>
        <color theme="1"/>
        <rFont val="Times New Roman"/>
        <family val="1"/>
        <charset val="204"/>
      </rPr>
      <t xml:space="preserve"> седьмой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</si>
  <si>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восьмой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</si>
  <si>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девятый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</si>
  <si>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десятый</t>
    </r>
  </si>
  <si>
    <t>борщ</t>
  </si>
  <si>
    <t>Солянка "Школьная"</t>
  </si>
  <si>
    <t>Кукуруза консервированная</t>
  </si>
  <si>
    <t>200/15/7</t>
  </si>
  <si>
    <t>200 /15/7</t>
  </si>
  <si>
    <t>200 /15</t>
  </si>
  <si>
    <t>Директор  ООО «Фабрика Социального питания»</t>
  </si>
  <si>
    <t>Суп картофельный с мясными фрикадельками</t>
  </si>
  <si>
    <t>Поджарка из свинины</t>
  </si>
  <si>
    <t>Масло сливочное (порциями)</t>
  </si>
  <si>
    <t>Свекольник</t>
  </si>
  <si>
    <t xml:space="preserve">жиры </t>
  </si>
  <si>
    <t>углеводы</t>
  </si>
  <si>
    <t>калорийность</t>
  </si>
  <si>
    <t>завтрак</t>
  </si>
  <si>
    <t>обед</t>
  </si>
  <si>
    <t>полдник</t>
  </si>
  <si>
    <t>20-25%</t>
  </si>
  <si>
    <t>мин</t>
  </si>
  <si>
    <t>макс</t>
  </si>
  <si>
    <t>30-35 %</t>
  </si>
  <si>
    <t>10-15 %</t>
  </si>
  <si>
    <t>Итого за день</t>
  </si>
  <si>
    <t>60-75%</t>
  </si>
  <si>
    <t xml:space="preserve">белки </t>
  </si>
  <si>
    <t>7-11 лет</t>
  </si>
  <si>
    <t>с 12 лет</t>
  </si>
  <si>
    <t>В примерном десятидневном меню для муниципальных общеобразовательных учреждений Шебекинского городского округа для возраста обучающихся 7-11 лет приведена сводная таблица о потреблении пищевых веществ и энергии за 10 дней. При сравнении норм потребности в пищевых веществах, энергии, указанных в приложении 10 (таблица 3) к СанПиН 2.3/2.4.3590-20, можно увидеть, что при осуществлении двух или трех разового питания (60-75% от суточной потребности) данные требования выполняются.</t>
  </si>
  <si>
    <t>Потребности в пищевых веществахи и энергии согласно сводной таблице к примерному меню  для возраста 7-11 лет</t>
  </si>
  <si>
    <t>Потребности в пищевых веществахи и энергии согласно СанПиН 2.3/2.4.3590-20 для возраста 7-11 лет</t>
  </si>
  <si>
    <t>Потребности в пищевых веществахи и энергии согласно СанПиН  2.3/2.4.3590-20 для возраста с 12 лет</t>
  </si>
  <si>
    <t>Йогурт фруктовый</t>
  </si>
  <si>
    <t>7.14</t>
  </si>
  <si>
    <t>Чай с сахаром и лимоном</t>
  </si>
  <si>
    <t>Плов из свинины</t>
  </si>
  <si>
    <t>Каша рисовая рассыпчатая</t>
  </si>
  <si>
    <t xml:space="preserve">Рыба, тушенная с овощами </t>
  </si>
  <si>
    <t>376 [4]</t>
  </si>
  <si>
    <t>101 [4]</t>
  </si>
  <si>
    <t>251 [4]</t>
  </si>
  <si>
    <t>378 [1]</t>
  </si>
  <si>
    <t>54-1о-2020 [2]</t>
  </si>
  <si>
    <t>339 [5]</t>
  </si>
  <si>
    <t>102 [4]</t>
  </si>
  <si>
    <t>Среднее значение по группе:</t>
  </si>
  <si>
    <t>ТТК 7.7</t>
  </si>
  <si>
    <t>Фрукты (порц.)</t>
  </si>
  <si>
    <t>"_____" _________________ 2022 г.</t>
  </si>
  <si>
    <t xml:space="preserve">для муниципальных общеобразовательных учреждений </t>
  </si>
  <si>
    <t>Шебекинского городского округа</t>
  </si>
  <si>
    <t>для возраста обучающихся с 7-11 лет</t>
  </si>
  <si>
    <t>ТТК 7.8</t>
  </si>
  <si>
    <t>ТТК2.18</t>
  </si>
  <si>
    <t>ТТК 3.5</t>
  </si>
  <si>
    <t>ТТК 7.9</t>
  </si>
  <si>
    <t>ТТК 2.18</t>
  </si>
  <si>
    <t>ТТК 7.18</t>
  </si>
  <si>
    <t>ТТК 3.9</t>
  </si>
  <si>
    <t>ТТК 3.10</t>
  </si>
  <si>
    <t>ТТК 5.9</t>
  </si>
  <si>
    <t>ТТК 2.12</t>
  </si>
  <si>
    <t>ТТК 2.1</t>
  </si>
  <si>
    <t>ТТК 7.13</t>
  </si>
  <si>
    <t>ТТК 3.7</t>
  </si>
  <si>
    <t>ТТК 5.35</t>
  </si>
  <si>
    <t>ТТК 2.19</t>
  </si>
  <si>
    <t>ТТК 7.3</t>
  </si>
  <si>
    <t>ТТК 5.25</t>
  </si>
  <si>
    <t>ТТК 2.4</t>
  </si>
  <si>
    <t>ТТК 2.8</t>
  </si>
  <si>
    <t>ТТК 2.3</t>
  </si>
  <si>
    <t>ТТК 4.4</t>
  </si>
  <si>
    <t>ТТК 3.32</t>
  </si>
  <si>
    <t>ТТК 3.6</t>
  </si>
  <si>
    <t>ТТК 3.15</t>
  </si>
  <si>
    <t>ТТК 4.11</t>
  </si>
  <si>
    <t>ТТК 4.9</t>
  </si>
  <si>
    <t>ТТК 3.12</t>
  </si>
  <si>
    <t>ТТК 5.41</t>
  </si>
  <si>
    <t>МКУ "Управление образования Шебекинского  городского округа"</t>
  </si>
  <si>
    <t>_______________________Ивантеева Н.В.</t>
  </si>
  <si>
    <t>Вареники отварные с картофелем из п/ф со сметаной</t>
  </si>
  <si>
    <t>ТТК 5.24</t>
  </si>
  <si>
    <t>Омлет паровой с мясом</t>
  </si>
  <si>
    <t>14[4]</t>
  </si>
  <si>
    <t>173[4]</t>
  </si>
  <si>
    <t>ТТК 2.20</t>
  </si>
  <si>
    <t>Блинчики с начинкой из п/ф</t>
  </si>
  <si>
    <t xml:space="preserve">Пюре картофельное или </t>
  </si>
  <si>
    <t>ТТК 6.4</t>
  </si>
  <si>
    <t>Картофель по-деревенски</t>
  </si>
  <si>
    <t>Котлеты морковные с творогом, со сметанным соусом</t>
  </si>
  <si>
    <t>ТТК 5.7</t>
  </si>
  <si>
    <t>Суфле куриное, запеченое со сметаной</t>
  </si>
  <si>
    <t>Огурец свежий/</t>
  </si>
  <si>
    <t>Огурец солёный</t>
  </si>
  <si>
    <t xml:space="preserve">Сдобное булочное изделие пром. производства </t>
  </si>
  <si>
    <t>416[5]</t>
  </si>
  <si>
    <t>Оладьи с повидлом</t>
  </si>
  <si>
    <t>432[5]</t>
  </si>
  <si>
    <t>Запеканка творожно-рисовая, со сгущеным молоком</t>
  </si>
  <si>
    <t>7[4]</t>
  </si>
  <si>
    <t>Сыр (порциями)</t>
  </si>
  <si>
    <t>Чай "Каркаде"</t>
  </si>
  <si>
    <t>Каша вязкая молочная из овсяных хлопьев "Геркулес" с сахаром</t>
  </si>
  <si>
    <t>223[4]</t>
  </si>
  <si>
    <t>ТТК 3.34</t>
  </si>
  <si>
    <t>Буженина из свинины(порциями)/</t>
  </si>
  <si>
    <t>376[4]</t>
  </si>
  <si>
    <t>159[4]</t>
  </si>
  <si>
    <t>Драники картофельные со сметаной</t>
  </si>
  <si>
    <t>181[4]</t>
  </si>
  <si>
    <t>Каша жидкая молочная манная с сахаром</t>
  </si>
  <si>
    <t>ТТК 3.30</t>
  </si>
  <si>
    <t>182[4]</t>
  </si>
  <si>
    <t>Каша жидкая молочная рисовая с сахаром</t>
  </si>
  <si>
    <t>Сэндвич Школьный(с соленым огурцом)</t>
  </si>
  <si>
    <t>Сэндвич Школьный (с соленым огурцом)</t>
  </si>
  <si>
    <t>Кондитерское изделие пром. производства</t>
  </si>
  <si>
    <t>Масло шоколадное (порциями)</t>
  </si>
  <si>
    <t>Конд. изделие пром. производства</t>
  </si>
  <si>
    <t>Молоко</t>
  </si>
  <si>
    <t>* При приготовлении блюд используются овощи и фрукты урожая 2022-2023гг. После 1  марта допускается использовать только после термической обработки.</t>
  </si>
  <si>
    <t>Руководитель управления образования администрации Яковлевского городского округа</t>
  </si>
  <si>
    <t xml:space="preserve">_____________________ Т.А.Золоторева </t>
  </si>
  <si>
    <t>"______"______________________2022</t>
  </si>
  <si>
    <t xml:space="preserve">Яковлевского городского  округа </t>
  </si>
  <si>
    <t xml:space="preserve">для муниципального бюджетного общеобразовательного учреждения </t>
  </si>
  <si>
    <t xml:space="preserve">"Средняя общеобразовательная школа №3" </t>
  </si>
  <si>
    <t>Директор МБОУ СОШ №13</t>
  </si>
  <si>
    <t>_____________________ Э.Ю. Дегтярева</t>
  </si>
  <si>
    <t>"______"________________________2022</t>
  </si>
  <si>
    <t>"Средняя общеобразовательная школа №13"</t>
  </si>
  <si>
    <t>Руководитель управления образования администрации Шебекинского городского округа</t>
  </si>
  <si>
    <t xml:space="preserve"> для возраста обучающихся 7-11 лет</t>
  </si>
  <si>
    <t xml:space="preserve">"Средняя общеобразовательная школа №49 </t>
  </si>
  <si>
    <t xml:space="preserve">с углубленным изучением отдельных предметов" </t>
  </si>
  <si>
    <t>г. Белгорода для возраста обучающихся 7-11 лет</t>
  </si>
  <si>
    <t>Директор МБОУ СОШ №3 г.Шебекино</t>
  </si>
  <si>
    <t>_____________________ Д.В. Груздев</t>
  </si>
  <si>
    <t>г. Шебекино для возраста обучающихся 7-11 лет</t>
  </si>
  <si>
    <t>Руководитель управления образования  г. Белгорода</t>
  </si>
  <si>
    <t xml:space="preserve">_____________________ И.А. Гричаникова </t>
  </si>
  <si>
    <t>г. Белгорода</t>
  </si>
  <si>
    <t>_____________________ Н.В. Ивантеева</t>
  </si>
  <si>
    <t xml:space="preserve"> для возраста обучающихся  7-11 лет </t>
  </si>
  <si>
    <t>Директор  ООО «Фабрика Социального питания 1»</t>
  </si>
  <si>
    <t>Пудинг молочный/</t>
  </si>
  <si>
    <t>ТТК 376[4]</t>
  </si>
  <si>
    <t>_____________________ Э.Ю. Дегтярёва</t>
  </si>
  <si>
    <t xml:space="preserve">______________________________  </t>
  </si>
  <si>
    <t>Директор______________________</t>
  </si>
  <si>
    <t>г. Старого Оскола и Старооскольского городского округа</t>
  </si>
  <si>
    <t xml:space="preserve"> для возраста обучающихся с 7 до 11 лет </t>
  </si>
  <si>
    <t>2022-2023г.г.</t>
  </si>
  <si>
    <t xml:space="preserve"> _________________________ Д.С. Семикопенко </t>
  </si>
  <si>
    <t>"______"_________________________2022</t>
  </si>
  <si>
    <t xml:space="preserve">Наименование блюда </t>
  </si>
  <si>
    <t>Белгородской области</t>
  </si>
  <si>
    <t xml:space="preserve">г. Губкин и Губкинского района </t>
  </si>
  <si>
    <t xml:space="preserve">Молочный коктейль пром. производства </t>
  </si>
  <si>
    <t>ТТК 5.22</t>
  </si>
  <si>
    <t>Пельмени отварные с маслом сливочным</t>
  </si>
  <si>
    <t>ТК 3.22</t>
  </si>
  <si>
    <t>Салат из свеклы с сыром</t>
  </si>
  <si>
    <t>Спагетти с мясным соусом</t>
  </si>
  <si>
    <t>ТТК 5.10</t>
  </si>
  <si>
    <t>Котлеты куриные</t>
  </si>
  <si>
    <t>ТТК 6.7</t>
  </si>
  <si>
    <t>Макаронные изделия отварные</t>
  </si>
  <si>
    <t>ТТК 5.12</t>
  </si>
  <si>
    <t>Котлеты "Нежные"</t>
  </si>
  <si>
    <t>Конд. изделие пром.  производства</t>
  </si>
  <si>
    <t>ТТК 5.45</t>
  </si>
  <si>
    <t>Мясо тушеное (филе куриное)</t>
  </si>
  <si>
    <t>Суп картофельный с рисовой крупой</t>
  </si>
  <si>
    <t>100 /15</t>
  </si>
  <si>
    <t>Каша перловая  рассыпчатая</t>
  </si>
  <si>
    <t>200 /5</t>
  </si>
  <si>
    <t>Помидор свежий или</t>
  </si>
  <si>
    <t>Помидор солёный/</t>
  </si>
  <si>
    <t>102[4]</t>
  </si>
  <si>
    <t>280 / 5</t>
  </si>
  <si>
    <t>81[4]</t>
  </si>
  <si>
    <t>250 /10</t>
  </si>
  <si>
    <t>100 /30</t>
  </si>
  <si>
    <t>200 /10</t>
  </si>
  <si>
    <t>250 /25</t>
  </si>
  <si>
    <t>Салат из капусты белокочанной с морковью</t>
  </si>
  <si>
    <t>100/30</t>
  </si>
  <si>
    <t>265[4]</t>
  </si>
  <si>
    <t>100/ 180</t>
  </si>
  <si>
    <t>ТТК3.15</t>
  </si>
  <si>
    <t xml:space="preserve">Салат из капусты белокочанной с огурцом </t>
  </si>
  <si>
    <t>ТТК 4.5</t>
  </si>
  <si>
    <t>Зразы "Солнышко"</t>
  </si>
  <si>
    <t>378 [5]</t>
  </si>
  <si>
    <t>Каша  гречневая рассыпчатая</t>
  </si>
  <si>
    <t xml:space="preserve">Оладьи со сметанным соусом </t>
  </si>
  <si>
    <t>Салат из цветной капусты и соленого огурца</t>
  </si>
  <si>
    <t>Салат из запеченой свеклы</t>
  </si>
  <si>
    <t>88[5]</t>
  </si>
  <si>
    <t>Щи из свежей капусты и картофелем со сметаной</t>
  </si>
  <si>
    <t>ТТК  5.43</t>
  </si>
  <si>
    <t>Суп лапша по-домашнему</t>
  </si>
  <si>
    <t>Фиш -кейк(минтай)</t>
  </si>
  <si>
    <t>Пюре картофельное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</si>
</sst>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2" fontId="5" fillId="0" borderId="0" xfId="0" applyNumberFormat="1" applyFont="1"/>
    <xf numFmtId="2" fontId="2" fillId="0" borderId="8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/>
    <xf numFmtId="2" fontId="13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vertical="top" wrapText="1"/>
    </xf>
    <xf numFmtId="2" fontId="12" fillId="0" borderId="13" xfId="0" applyNumberFormat="1" applyFont="1" applyBorder="1" applyAlignment="1">
      <alignment horizontal="center" wrapText="1"/>
    </xf>
    <xf numFmtId="2" fontId="13" fillId="0" borderId="0" xfId="0" applyNumberFormat="1" applyFont="1" applyAlignment="1">
      <alignment vertical="center"/>
    </xf>
    <xf numFmtId="2" fontId="13" fillId="2" borderId="0" xfId="0" applyNumberFormat="1" applyFont="1" applyFill="1" applyAlignment="1">
      <alignment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2" fontId="17" fillId="2" borderId="14" xfId="0" applyNumberFormat="1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/>
    <xf numFmtId="2" fontId="14" fillId="2" borderId="1" xfId="0" applyNumberFormat="1" applyFont="1" applyFill="1" applyBorder="1" applyAlignment="1">
      <alignment horizontal="left" vertical="center" wrapText="1"/>
    </xf>
    <xf numFmtId="2" fontId="14" fillId="2" borderId="0" xfId="0" applyNumberFormat="1" applyFont="1" applyFill="1"/>
    <xf numFmtId="2" fontId="9" fillId="0" borderId="0" xfId="0" applyNumberFormat="1" applyFont="1" applyAlignment="1">
      <alignment vertical="center"/>
    </xf>
    <xf numFmtId="2" fontId="14" fillId="2" borderId="1" xfId="0" applyNumberFormat="1" applyFont="1" applyFill="1" applyBorder="1" applyAlignment="1">
      <alignment vertical="center" wrapText="1"/>
    </xf>
    <xf numFmtId="2" fontId="14" fillId="2" borderId="0" xfId="0" applyNumberFormat="1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vertical="center" wrapText="1"/>
    </xf>
    <xf numFmtId="2" fontId="14" fillId="2" borderId="16" xfId="0" applyNumberFormat="1" applyFont="1" applyFill="1" applyBorder="1" applyAlignment="1">
      <alignment horizontal="center" vertical="center" wrapText="1"/>
    </xf>
    <xf numFmtId="1" fontId="13" fillId="2" borderId="0" xfId="0" applyNumberFormat="1" applyFont="1" applyFill="1"/>
    <xf numFmtId="1" fontId="13" fillId="2" borderId="0" xfId="0" applyNumberFormat="1" applyFont="1" applyFill="1" applyAlignment="1">
      <alignment vertical="center"/>
    </xf>
    <xf numFmtId="1" fontId="14" fillId="2" borderId="0" xfId="0" applyNumberFormat="1" applyFont="1" applyFill="1" applyBorder="1" applyAlignment="1">
      <alignment horizontal="center" vertical="top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vertical="center"/>
    </xf>
    <xf numFmtId="1" fontId="14" fillId="2" borderId="16" xfId="0" applyNumberFormat="1" applyFont="1" applyFill="1" applyBorder="1" applyAlignment="1">
      <alignment horizontal="center" vertical="center" wrapText="1"/>
    </xf>
    <xf numFmtId="2" fontId="14" fillId="2" borderId="16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wrapText="1"/>
    </xf>
    <xf numFmtId="0" fontId="5" fillId="0" borderId="0" xfId="0" applyFont="1"/>
    <xf numFmtId="10" fontId="5" fillId="0" borderId="0" xfId="0" applyNumberFormat="1" applyFont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" fontId="5" fillId="0" borderId="0" xfId="0" applyNumberFormat="1" applyFont="1"/>
    <xf numFmtId="0" fontId="5" fillId="0" borderId="13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16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left" vertical="center" wrapText="1"/>
    </xf>
    <xf numFmtId="2" fontId="14" fillId="2" borderId="1" xfId="0" applyNumberFormat="1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0" fillId="0" borderId="0" xfId="0"/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left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49" fontId="14" fillId="2" borderId="16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wrapText="1"/>
    </xf>
    <xf numFmtId="1" fontId="14" fillId="2" borderId="1" xfId="0" applyNumberFormat="1" applyFont="1" applyFill="1" applyBorder="1" applyAlignment="1">
      <alignment horizont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4" fillId="2" borderId="15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114300</xdr:colOff>
      <xdr:row>1</xdr:row>
      <xdr:rowOff>220980</xdr:rowOff>
    </xdr:from>
    <xdr:ext cx="2343477" cy="2351097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345680" y="441960"/>
          <a:ext cx="2343477" cy="2351097"/>
        </a:xfrm>
        <a:prstGeom prst="rect">
          <a:avLst/>
        </a:prstGeom>
      </xdr:spPr>
    </xdr:pic>
    <xdr:clientData/>
  </xdr:oneCellAnchor>
  <xdr:oneCellAnchor>
    <xdr:from>
      <xdr:col>3</xdr:col>
      <xdr:colOff>111125</xdr:colOff>
      <xdr:row>53</xdr:row>
      <xdr:rowOff>31750</xdr:rowOff>
    </xdr:from>
    <xdr:ext cx="2343477" cy="2351097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59625" y="15636875"/>
          <a:ext cx="2343477" cy="235109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</xdr:row>
      <xdr:rowOff>19050</xdr:rowOff>
    </xdr:from>
    <xdr:to>
      <xdr:col>3</xdr:col>
      <xdr:colOff>1600200</xdr:colOff>
      <xdr:row>7</xdr:row>
      <xdr:rowOff>110489</xdr:rowOff>
    </xdr:to>
    <xdr:grpSp>
      <xdr:nvGrpSpPr>
        <xdr:cNvPr id="2" name="Группа 1"/>
        <xdr:cNvGrpSpPr/>
      </xdr:nvGrpSpPr>
      <xdr:grpSpPr>
        <a:xfrm>
          <a:off x="7341870" y="422910"/>
          <a:ext cx="1504950" cy="1463039"/>
          <a:chOff x="7033260" y="0"/>
          <a:chExt cx="2179319" cy="2714545"/>
        </a:xfrm>
      </xdr:grpSpPr>
      <xdr:pic>
        <xdr:nvPicPr>
          <xdr:cNvPr id="3" name="Рисунок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7033260" y="0"/>
            <a:ext cx="2179319" cy="2714545"/>
          </a:xfrm>
          <a:prstGeom prst="rect">
            <a:avLst/>
          </a:prstGeom>
        </xdr:spPr>
      </xdr:pic>
      <xdr:pic>
        <xdr:nvPicPr>
          <xdr:cNvPr id="4" name="Рисунок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7284720" y="617220"/>
            <a:ext cx="1777138" cy="129894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3"/>
  <sheetViews>
    <sheetView view="pageBreakPreview" topLeftCell="A46" zoomScale="60" zoomScaleNormal="80" workbookViewId="0">
      <selection activeCell="B68" sqref="B68:D68"/>
    </sheetView>
  </sheetViews>
  <sheetFormatPr defaultRowHeight="15"/>
  <cols>
    <col min="2" max="2" width="53.7109375" customWidth="1"/>
    <col min="3" max="3" width="42.85546875" customWidth="1"/>
    <col min="4" max="4" width="61.140625" customWidth="1"/>
  </cols>
  <sheetData>
    <row r="1" spans="1:4" ht="18.75">
      <c r="A1" s="75"/>
      <c r="B1" s="76" t="s">
        <v>97</v>
      </c>
      <c r="C1" s="79"/>
      <c r="D1" s="76" t="s">
        <v>98</v>
      </c>
    </row>
    <row r="2" spans="1:4" ht="18.75">
      <c r="A2" s="75"/>
      <c r="B2" s="77"/>
      <c r="C2" s="79"/>
      <c r="D2" s="76"/>
    </row>
    <row r="3" spans="1:4" ht="28.15" customHeight="1">
      <c r="A3" s="75"/>
      <c r="B3" s="80"/>
      <c r="C3" s="83"/>
      <c r="D3" s="84" t="s">
        <v>273</v>
      </c>
    </row>
    <row r="4" spans="1:4" ht="52.15" customHeight="1">
      <c r="A4" s="75"/>
      <c r="B4" s="80" t="s">
        <v>260</v>
      </c>
      <c r="C4" s="83"/>
      <c r="D4" s="84" t="s">
        <v>100</v>
      </c>
    </row>
    <row r="5" spans="1:4" ht="18.75">
      <c r="A5" s="75"/>
      <c r="B5" s="85" t="s">
        <v>271</v>
      </c>
      <c r="C5" s="81"/>
      <c r="D5" s="107" t="s">
        <v>252</v>
      </c>
    </row>
    <row r="6" spans="1:4" ht="18.75">
      <c r="A6" s="75"/>
      <c r="B6" s="14" t="s">
        <v>252</v>
      </c>
      <c r="C6" s="79"/>
      <c r="D6" s="78"/>
    </row>
    <row r="7" spans="1:4" ht="18.75">
      <c r="A7" s="75"/>
      <c r="B7" s="75"/>
      <c r="C7" s="79"/>
      <c r="D7" s="78"/>
    </row>
    <row r="8" spans="1:4" s="75" customFormat="1" ht="18.75">
      <c r="C8" s="79"/>
      <c r="D8" s="78"/>
    </row>
    <row r="9" spans="1:4" s="75" customFormat="1" ht="18.75">
      <c r="C9" s="79"/>
      <c r="D9" s="78"/>
    </row>
    <row r="10" spans="1:4" s="75" customFormat="1" ht="18.75">
      <c r="C10" s="79"/>
      <c r="D10" s="78"/>
    </row>
    <row r="11" spans="1:4" ht="18.75">
      <c r="A11" s="75"/>
      <c r="B11" s="75"/>
      <c r="C11" s="79"/>
      <c r="D11" s="78"/>
    </row>
    <row r="12" spans="1:4" ht="25.5">
      <c r="A12" s="75"/>
      <c r="B12" s="134" t="s">
        <v>99</v>
      </c>
      <c r="C12" s="134"/>
      <c r="D12" s="134"/>
    </row>
    <row r="13" spans="1:4" ht="25.5">
      <c r="A13" s="75"/>
      <c r="B13" s="134" t="s">
        <v>175</v>
      </c>
      <c r="C13" s="134"/>
      <c r="D13" s="134"/>
    </row>
    <row r="14" spans="1:4" ht="25.5">
      <c r="A14" s="75"/>
      <c r="B14" s="134" t="s">
        <v>176</v>
      </c>
      <c r="C14" s="134"/>
      <c r="D14" s="134"/>
    </row>
    <row r="15" spans="1:4" ht="25.5">
      <c r="A15" s="75"/>
      <c r="B15" s="135" t="s">
        <v>177</v>
      </c>
      <c r="C15" s="135"/>
      <c r="D15" s="135"/>
    </row>
    <row r="16" spans="1:4" ht="18.75">
      <c r="A16" s="75"/>
      <c r="B16" s="76"/>
      <c r="C16" s="79"/>
      <c r="D16" s="76"/>
    </row>
    <row r="17" spans="1:4" s="101" customFormat="1" ht="18.75">
      <c r="B17" s="103"/>
      <c r="C17" s="106"/>
      <c r="D17" s="103"/>
    </row>
    <row r="18" spans="1:4" ht="25.5">
      <c r="A18" s="75"/>
      <c r="B18" s="134"/>
      <c r="C18" s="134"/>
      <c r="D18" s="134"/>
    </row>
    <row r="19" spans="1:4" ht="18.75">
      <c r="A19" s="75"/>
      <c r="B19" s="94" t="s">
        <v>97</v>
      </c>
      <c r="C19" s="95"/>
      <c r="D19" s="94" t="s">
        <v>98</v>
      </c>
    </row>
    <row r="20" spans="1:4" ht="56.25">
      <c r="A20" s="75"/>
      <c r="B20" s="96" t="s">
        <v>250</v>
      </c>
      <c r="C20" s="95"/>
      <c r="D20" s="98" t="s">
        <v>133</v>
      </c>
    </row>
    <row r="21" spans="1:4" ht="18.75">
      <c r="A21" s="75"/>
      <c r="B21" s="96" t="s">
        <v>251</v>
      </c>
      <c r="C21" s="97"/>
      <c r="D21" s="98" t="s">
        <v>100</v>
      </c>
    </row>
    <row r="22" spans="1:4" ht="18.75">
      <c r="A22" s="75"/>
      <c r="B22" s="98" t="s">
        <v>252</v>
      </c>
      <c r="C22" s="97"/>
      <c r="D22" s="99" t="s">
        <v>174</v>
      </c>
    </row>
    <row r="23" spans="1:4" ht="18.75">
      <c r="A23" s="75"/>
      <c r="B23" s="93"/>
      <c r="C23" s="95"/>
      <c r="D23" s="99"/>
    </row>
    <row r="24" spans="1:4" ht="18.75">
      <c r="A24" s="75"/>
      <c r="B24" s="93"/>
      <c r="C24" s="95"/>
      <c r="D24" s="100"/>
    </row>
    <row r="25" spans="1:4" ht="18.75">
      <c r="A25" s="75"/>
      <c r="B25" s="93"/>
      <c r="C25" s="95"/>
      <c r="D25" s="100"/>
    </row>
    <row r="26" spans="1:4" ht="18.75">
      <c r="A26" s="75"/>
      <c r="B26" s="93"/>
      <c r="C26" s="95"/>
      <c r="D26" s="100"/>
    </row>
    <row r="27" spans="1:4" ht="25.5">
      <c r="A27" s="75"/>
      <c r="B27" s="134" t="s">
        <v>99</v>
      </c>
      <c r="C27" s="134"/>
      <c r="D27" s="134"/>
    </row>
    <row r="28" spans="1:4" ht="25.5">
      <c r="A28" s="75"/>
      <c r="B28" s="134" t="s">
        <v>175</v>
      </c>
      <c r="C28" s="134"/>
      <c r="D28" s="134"/>
    </row>
    <row r="29" spans="1:4" ht="25.5">
      <c r="A29" s="75"/>
      <c r="B29" s="134" t="s">
        <v>253</v>
      </c>
      <c r="C29" s="134"/>
      <c r="D29" s="134"/>
    </row>
    <row r="30" spans="1:4" ht="25.5">
      <c r="A30" s="75"/>
      <c r="B30" s="134" t="s">
        <v>272</v>
      </c>
      <c r="C30" s="134"/>
      <c r="D30" s="134"/>
    </row>
    <row r="31" spans="1:4" ht="25.5">
      <c r="A31" s="75"/>
      <c r="B31" s="134"/>
      <c r="C31" s="134"/>
      <c r="D31" s="134"/>
    </row>
    <row r="32" spans="1:4" ht="25.5">
      <c r="A32" s="75"/>
      <c r="B32" s="134"/>
      <c r="C32" s="134"/>
      <c r="D32" s="134"/>
    </row>
    <row r="33" spans="1:4" ht="18.75">
      <c r="A33" s="75"/>
      <c r="B33" s="75"/>
      <c r="C33" s="79"/>
      <c r="D33" s="78"/>
    </row>
    <row r="34" spans="1:4" ht="18.75">
      <c r="A34" s="93"/>
      <c r="B34" s="103" t="s">
        <v>97</v>
      </c>
      <c r="C34" s="106"/>
      <c r="D34" s="103" t="s">
        <v>98</v>
      </c>
    </row>
    <row r="35" spans="1:4" s="75" customFormat="1" ht="37.5">
      <c r="A35" s="93"/>
      <c r="B35" s="104" t="s">
        <v>268</v>
      </c>
      <c r="C35" s="106"/>
      <c r="D35" s="107" t="s">
        <v>133</v>
      </c>
    </row>
    <row r="36" spans="1:4" s="75" customFormat="1" ht="37.5">
      <c r="A36" s="93"/>
      <c r="B36" s="104" t="s">
        <v>269</v>
      </c>
      <c r="C36" s="108"/>
      <c r="D36" s="107" t="s">
        <v>100</v>
      </c>
    </row>
    <row r="37" spans="1:4" s="75" customFormat="1" ht="18.75">
      <c r="A37" s="93"/>
      <c r="B37" s="107" t="s">
        <v>252</v>
      </c>
      <c r="C37" s="108"/>
      <c r="D37" s="107" t="s">
        <v>252</v>
      </c>
    </row>
    <row r="38" spans="1:4" ht="18.75">
      <c r="A38" s="93"/>
      <c r="B38" s="101"/>
      <c r="C38" s="108"/>
      <c r="D38" s="109"/>
    </row>
    <row r="39" spans="1:4" s="101" customFormat="1" ht="18.75">
      <c r="C39" s="108"/>
      <c r="D39" s="109"/>
    </row>
    <row r="40" spans="1:4" s="101" customFormat="1" ht="18.75">
      <c r="C40" s="108"/>
      <c r="D40" s="109"/>
    </row>
    <row r="41" spans="1:4" s="101" customFormat="1" ht="18.75">
      <c r="C41" s="108"/>
      <c r="D41" s="109"/>
    </row>
    <row r="42" spans="1:4" s="101" customFormat="1" ht="18.75">
      <c r="C42" s="108"/>
      <c r="D42" s="109"/>
    </row>
    <row r="43" spans="1:4" ht="18.75">
      <c r="A43" s="93"/>
      <c r="B43" s="101"/>
      <c r="C43" s="106"/>
      <c r="D43" s="105"/>
    </row>
    <row r="44" spans="1:4" ht="18.75">
      <c r="A44" s="93"/>
      <c r="B44" s="101"/>
      <c r="C44" s="106"/>
      <c r="D44" s="105"/>
    </row>
    <row r="45" spans="1:4" ht="25.5">
      <c r="A45" s="93"/>
      <c r="B45" s="134" t="s">
        <v>99</v>
      </c>
      <c r="C45" s="134"/>
      <c r="D45" s="134"/>
    </row>
    <row r="46" spans="1:4" ht="25.5">
      <c r="A46" s="93"/>
      <c r="B46" s="134" t="s">
        <v>175</v>
      </c>
      <c r="C46" s="134"/>
      <c r="D46" s="134"/>
    </row>
    <row r="47" spans="1:4" ht="25.5">
      <c r="A47" s="93"/>
      <c r="B47" s="134" t="s">
        <v>270</v>
      </c>
      <c r="C47" s="134"/>
      <c r="D47" s="134"/>
    </row>
    <row r="48" spans="1:4" ht="25.5">
      <c r="A48" s="93"/>
      <c r="B48" s="134" t="s">
        <v>261</v>
      </c>
      <c r="C48" s="134"/>
      <c r="D48" s="134"/>
    </row>
    <row r="49" spans="1:4" s="101" customFormat="1" ht="25.5">
      <c r="B49" s="112"/>
      <c r="C49" s="112"/>
      <c r="D49" s="112"/>
    </row>
    <row r="50" spans="1:4" s="101" customFormat="1" ht="25.5">
      <c r="B50" s="111"/>
      <c r="C50" s="111"/>
      <c r="D50" s="111"/>
    </row>
    <row r="51" spans="1:4" s="101" customFormat="1" ht="25.5">
      <c r="B51" s="112"/>
      <c r="C51" s="112"/>
      <c r="D51" s="112"/>
    </row>
    <row r="52" spans="1:4" ht="25.5">
      <c r="A52" s="93"/>
      <c r="B52" s="134"/>
      <c r="C52" s="134"/>
      <c r="D52" s="134"/>
    </row>
    <row r="53" spans="1:4" ht="18.75">
      <c r="A53" s="93"/>
      <c r="B53" s="103" t="s">
        <v>97</v>
      </c>
      <c r="C53" s="106"/>
      <c r="D53" s="103" t="s">
        <v>98</v>
      </c>
    </row>
    <row r="54" spans="1:4" ht="37.5">
      <c r="A54" s="93"/>
      <c r="B54" s="104" t="s">
        <v>278</v>
      </c>
      <c r="C54" s="106"/>
      <c r="D54" s="107" t="s">
        <v>273</v>
      </c>
    </row>
    <row r="55" spans="1:4" ht="37.5">
      <c r="A55" s="93"/>
      <c r="B55" s="104" t="s">
        <v>277</v>
      </c>
      <c r="C55" s="108"/>
      <c r="D55" s="107" t="s">
        <v>282</v>
      </c>
    </row>
    <row r="56" spans="1:4" ht="18.75">
      <c r="A56" s="93"/>
      <c r="B56" s="107" t="s">
        <v>252</v>
      </c>
      <c r="C56" s="108"/>
      <c r="D56" s="107" t="s">
        <v>283</v>
      </c>
    </row>
    <row r="57" spans="1:4" ht="18.75">
      <c r="A57" s="93"/>
      <c r="B57" s="101"/>
      <c r="C57" s="108"/>
      <c r="D57" s="109"/>
    </row>
    <row r="58" spans="1:4" s="101" customFormat="1" ht="18.75">
      <c r="C58" s="108"/>
      <c r="D58" s="109"/>
    </row>
    <row r="59" spans="1:4" s="101" customFormat="1" ht="18.75">
      <c r="C59" s="108"/>
      <c r="D59" s="109"/>
    </row>
    <row r="60" spans="1:4" s="101" customFormat="1" ht="18.75">
      <c r="C60" s="108"/>
      <c r="D60" s="109"/>
    </row>
    <row r="61" spans="1:4" s="101" customFormat="1" ht="18.75">
      <c r="C61" s="108"/>
      <c r="D61" s="109"/>
    </row>
    <row r="62" spans="1:4" ht="18.75">
      <c r="A62" s="93"/>
      <c r="B62" s="101"/>
      <c r="C62" s="106"/>
      <c r="D62" s="105"/>
    </row>
    <row r="63" spans="1:4" s="101" customFormat="1" ht="18.75">
      <c r="C63" s="106"/>
      <c r="D63" s="105"/>
    </row>
    <row r="64" spans="1:4" ht="18.75">
      <c r="A64" s="93"/>
      <c r="B64" s="101"/>
      <c r="C64" s="106"/>
      <c r="D64" s="105"/>
    </row>
    <row r="65" spans="1:4" ht="25.5">
      <c r="A65" s="93"/>
      <c r="B65" s="134" t="s">
        <v>99</v>
      </c>
      <c r="C65" s="134"/>
      <c r="D65" s="134"/>
    </row>
    <row r="66" spans="1:4" ht="25.5">
      <c r="A66" s="93"/>
      <c r="B66" s="134" t="s">
        <v>175</v>
      </c>
      <c r="C66" s="134"/>
      <c r="D66" s="134"/>
    </row>
    <row r="67" spans="1:4" ht="25.5">
      <c r="A67" s="93"/>
      <c r="B67" s="134" t="s">
        <v>279</v>
      </c>
      <c r="C67" s="134"/>
      <c r="D67" s="134"/>
    </row>
    <row r="68" spans="1:4" ht="25.5">
      <c r="A68" s="93"/>
      <c r="B68" s="134" t="s">
        <v>280</v>
      </c>
      <c r="C68" s="134"/>
      <c r="D68" s="134"/>
    </row>
    <row r="69" spans="1:4" ht="25.5">
      <c r="A69" s="93"/>
      <c r="B69" s="134"/>
      <c r="C69" s="134"/>
      <c r="D69" s="134"/>
    </row>
    <row r="70" spans="1:4" ht="25.5">
      <c r="A70" s="93"/>
      <c r="B70" s="134"/>
      <c r="C70" s="134"/>
      <c r="D70" s="134"/>
    </row>
    <row r="71" spans="1:4" ht="18.75">
      <c r="A71" s="93"/>
      <c r="B71" s="93"/>
      <c r="C71" s="95"/>
      <c r="D71" s="100"/>
    </row>
    <row r="72" spans="1:4" ht="18.75">
      <c r="A72" s="93"/>
      <c r="B72" s="103"/>
      <c r="C72" s="103" t="s">
        <v>281</v>
      </c>
      <c r="D72" s="103"/>
    </row>
    <row r="73" spans="1:4" ht="18.75">
      <c r="A73" s="93"/>
      <c r="B73" s="104"/>
      <c r="C73" s="106"/>
      <c r="D73" s="103"/>
    </row>
    <row r="74" spans="1:4" ht="18.75">
      <c r="A74" s="93"/>
      <c r="B74" s="104"/>
      <c r="C74" s="108"/>
      <c r="D74" s="107"/>
    </row>
    <row r="75" spans="1:4" ht="18.75">
      <c r="A75" s="93"/>
      <c r="B75" s="104"/>
      <c r="C75" s="108"/>
      <c r="D75" s="107"/>
    </row>
    <row r="76" spans="1:4" ht="18.75">
      <c r="A76" s="93"/>
      <c r="B76" s="107"/>
      <c r="C76" s="108"/>
      <c r="D76" s="110"/>
    </row>
    <row r="77" spans="1:4" ht="18.75">
      <c r="A77" s="93"/>
      <c r="B77" s="101"/>
      <c r="C77" s="106"/>
      <c r="D77" s="105"/>
    </row>
    <row r="78" spans="1:4" ht="18.75">
      <c r="A78" s="93"/>
      <c r="B78" s="101"/>
      <c r="C78" s="106"/>
      <c r="D78" s="105"/>
    </row>
    <row r="79" spans="1:4" ht="18.75">
      <c r="A79" s="93"/>
      <c r="B79" s="101"/>
      <c r="C79" s="106"/>
      <c r="D79" s="105"/>
    </row>
    <row r="80" spans="1:4" ht="18.75">
      <c r="A80" s="93"/>
      <c r="B80" s="101"/>
      <c r="C80" s="106"/>
      <c r="D80" s="105"/>
    </row>
    <row r="81" spans="1:4" ht="18.75">
      <c r="A81" s="93"/>
      <c r="B81" s="104"/>
      <c r="C81" s="103"/>
      <c r="D81" s="105"/>
    </row>
    <row r="82" spans="1:4" ht="26.25">
      <c r="A82" s="93"/>
      <c r="B82" s="102"/>
      <c r="C82" s="101"/>
      <c r="D82" s="101"/>
    </row>
    <row r="83" spans="1:4" ht="25.5">
      <c r="A83" s="93"/>
      <c r="B83" s="134" t="s">
        <v>99</v>
      </c>
      <c r="C83" s="134"/>
      <c r="D83" s="134"/>
    </row>
    <row r="84" spans="1:4" ht="25.5">
      <c r="A84" s="93"/>
      <c r="B84" s="134" t="s">
        <v>254</v>
      </c>
      <c r="C84" s="134"/>
      <c r="D84" s="134"/>
    </row>
    <row r="85" spans="1:4" ht="25.5">
      <c r="A85" s="93"/>
      <c r="B85" s="134" t="s">
        <v>262</v>
      </c>
      <c r="C85" s="134"/>
      <c r="D85" s="134"/>
    </row>
    <row r="86" spans="1:4" ht="25.5">
      <c r="A86" s="93"/>
      <c r="B86" s="134" t="s">
        <v>263</v>
      </c>
      <c r="C86" s="134"/>
      <c r="D86" s="134"/>
    </row>
    <row r="87" spans="1:4" ht="25.5">
      <c r="A87" s="93"/>
      <c r="B87" s="134" t="s">
        <v>264</v>
      </c>
      <c r="C87" s="134"/>
      <c r="D87" s="134"/>
    </row>
    <row r="88" spans="1:4" s="101" customFormat="1" ht="25.5">
      <c r="B88" s="114"/>
      <c r="C88" s="114"/>
      <c r="D88" s="114"/>
    </row>
    <row r="89" spans="1:4" ht="18.75">
      <c r="A89" s="93"/>
      <c r="B89" s="103" t="s">
        <v>97</v>
      </c>
      <c r="C89" s="101"/>
      <c r="D89" s="103" t="s">
        <v>97</v>
      </c>
    </row>
    <row r="90" spans="1:4">
      <c r="A90" s="93"/>
      <c r="B90" s="101"/>
      <c r="C90" s="101"/>
      <c r="D90" s="101"/>
    </row>
    <row r="91" spans="1:4" ht="18.75">
      <c r="A91" s="93"/>
      <c r="B91" s="104" t="s">
        <v>265</v>
      </c>
      <c r="C91" s="108"/>
      <c r="D91" s="107" t="s">
        <v>133</v>
      </c>
    </row>
    <row r="92" spans="1:4" ht="18.75">
      <c r="A92" s="93"/>
      <c r="B92" s="104" t="s">
        <v>276</v>
      </c>
      <c r="C92" s="108"/>
      <c r="D92" s="107" t="s">
        <v>100</v>
      </c>
    </row>
    <row r="93" spans="1:4" ht="18.75">
      <c r="A93" s="93"/>
      <c r="B93" s="107" t="s">
        <v>252</v>
      </c>
      <c r="C93" s="108"/>
      <c r="D93" s="110" t="s">
        <v>258</v>
      </c>
    </row>
    <row r="94" spans="1:4" ht="18.75">
      <c r="A94" s="93"/>
      <c r="B94" s="101"/>
      <c r="C94" s="106"/>
      <c r="D94" s="105"/>
    </row>
    <row r="95" spans="1:4" ht="18.75">
      <c r="A95" s="93"/>
      <c r="B95" s="101"/>
      <c r="C95" s="106"/>
      <c r="D95" s="105"/>
    </row>
    <row r="96" spans="1:4" ht="18.75">
      <c r="A96" s="93"/>
      <c r="B96" s="101"/>
      <c r="C96" s="106"/>
      <c r="D96" s="105"/>
    </row>
    <row r="97" spans="1:4" ht="18.75">
      <c r="A97" s="93"/>
      <c r="B97" s="101"/>
      <c r="C97" s="106"/>
      <c r="D97" s="105"/>
    </row>
    <row r="98" spans="1:4" ht="18.75">
      <c r="A98" s="93"/>
      <c r="B98" s="104"/>
      <c r="C98" s="103"/>
      <c r="D98" s="105"/>
    </row>
    <row r="99" spans="1:4" ht="26.25">
      <c r="A99" s="93"/>
      <c r="B99" s="102"/>
      <c r="C99" s="101"/>
      <c r="D99" s="101"/>
    </row>
    <row r="100" spans="1:4" ht="25.5">
      <c r="A100" s="93"/>
      <c r="B100" s="134" t="s">
        <v>99</v>
      </c>
      <c r="C100" s="134"/>
      <c r="D100" s="134"/>
    </row>
    <row r="101" spans="1:4" ht="25.5">
      <c r="A101" s="93"/>
      <c r="B101" s="134" t="s">
        <v>254</v>
      </c>
      <c r="C101" s="134"/>
      <c r="D101" s="134"/>
    </row>
    <row r="102" spans="1:4" ht="25.5">
      <c r="A102" s="93"/>
      <c r="B102" s="134" t="s">
        <v>255</v>
      </c>
      <c r="C102" s="134"/>
      <c r="D102" s="134"/>
    </row>
    <row r="103" spans="1:4" ht="25.5">
      <c r="A103" s="93"/>
      <c r="B103" s="134" t="s">
        <v>267</v>
      </c>
      <c r="C103" s="134"/>
      <c r="D103" s="134"/>
    </row>
    <row r="104" spans="1:4">
      <c r="A104" s="93"/>
      <c r="B104" s="101"/>
      <c r="C104" s="101"/>
      <c r="D104" s="101"/>
    </row>
    <row r="105" spans="1:4" ht="18.75">
      <c r="A105" s="93"/>
      <c r="B105" s="103" t="s">
        <v>97</v>
      </c>
      <c r="C105" s="106"/>
      <c r="D105" s="103" t="s">
        <v>98</v>
      </c>
    </row>
    <row r="106" spans="1:4" ht="18.75">
      <c r="A106" s="93"/>
      <c r="B106" s="104"/>
      <c r="C106" s="106"/>
      <c r="D106" s="103"/>
    </row>
    <row r="107" spans="1:4" ht="18.75">
      <c r="A107" s="93"/>
      <c r="B107" s="104" t="s">
        <v>256</v>
      </c>
      <c r="C107" s="108"/>
      <c r="D107" s="107" t="s">
        <v>133</v>
      </c>
    </row>
    <row r="108" spans="1:4" ht="18.75">
      <c r="A108" s="93"/>
      <c r="B108" s="104" t="s">
        <v>257</v>
      </c>
      <c r="C108" s="108"/>
      <c r="D108" s="107" t="s">
        <v>100</v>
      </c>
    </row>
    <row r="109" spans="1:4" ht="18.75">
      <c r="A109" s="93"/>
      <c r="B109" s="107" t="s">
        <v>252</v>
      </c>
      <c r="C109" s="108"/>
      <c r="D109" s="110" t="s">
        <v>258</v>
      </c>
    </row>
    <row r="110" spans="1:4" ht="18.75">
      <c r="A110" s="93"/>
      <c r="B110" s="101"/>
      <c r="C110" s="106"/>
      <c r="D110" s="105"/>
    </row>
    <row r="111" spans="1:4" ht="18.75">
      <c r="A111" s="93"/>
      <c r="B111" s="101"/>
      <c r="C111" s="106"/>
      <c r="D111" s="105"/>
    </row>
    <row r="112" spans="1:4" ht="18.75">
      <c r="A112" s="93"/>
      <c r="B112" s="101"/>
      <c r="C112" s="106"/>
      <c r="D112" s="105"/>
    </row>
    <row r="113" spans="1:4" ht="18.75">
      <c r="A113" s="93"/>
      <c r="B113" s="101"/>
      <c r="C113" s="106"/>
      <c r="D113" s="105"/>
    </row>
    <row r="114" spans="1:4" ht="18.75">
      <c r="A114" s="93"/>
      <c r="B114" s="104"/>
      <c r="C114" s="103"/>
      <c r="D114" s="105"/>
    </row>
    <row r="115" spans="1:4" ht="26.25">
      <c r="A115" s="93"/>
      <c r="B115" s="102"/>
      <c r="C115" s="101"/>
      <c r="D115" s="101"/>
    </row>
    <row r="116" spans="1:4" ht="25.5">
      <c r="A116" s="93"/>
      <c r="B116" s="134" t="s">
        <v>99</v>
      </c>
      <c r="C116" s="134"/>
      <c r="D116" s="134"/>
    </row>
    <row r="117" spans="1:4" ht="25.5">
      <c r="A117" s="93"/>
      <c r="B117" s="134" t="s">
        <v>254</v>
      </c>
      <c r="C117" s="134"/>
      <c r="D117" s="134"/>
    </row>
    <row r="118" spans="1:4" ht="25.5">
      <c r="A118" s="93"/>
      <c r="B118" s="134" t="s">
        <v>259</v>
      </c>
      <c r="C118" s="134"/>
      <c r="D118" s="134"/>
    </row>
    <row r="119" spans="1:4" ht="25.5">
      <c r="A119" s="93"/>
      <c r="B119" s="134" t="s">
        <v>264</v>
      </c>
      <c r="C119" s="134"/>
      <c r="D119" s="134"/>
    </row>
    <row r="120" spans="1:4">
      <c r="A120" s="93"/>
      <c r="B120" s="101"/>
      <c r="C120" s="101"/>
      <c r="D120" s="101"/>
    </row>
    <row r="121" spans="1:4">
      <c r="A121" s="93"/>
      <c r="B121" s="101"/>
      <c r="C121" s="101"/>
      <c r="D121" s="101"/>
    </row>
    <row r="122" spans="1:4" ht="18.75">
      <c r="A122" s="93"/>
      <c r="B122" s="104" t="s">
        <v>265</v>
      </c>
      <c r="C122" s="108"/>
      <c r="D122" s="107" t="s">
        <v>133</v>
      </c>
    </row>
    <row r="123" spans="1:4" ht="18.75">
      <c r="A123" s="93"/>
      <c r="B123" s="104" t="s">
        <v>266</v>
      </c>
      <c r="C123" s="108"/>
      <c r="D123" s="107" t="s">
        <v>100</v>
      </c>
    </row>
    <row r="124" spans="1:4" ht="18.75">
      <c r="A124" s="93"/>
      <c r="B124" s="107" t="s">
        <v>252</v>
      </c>
      <c r="C124" s="108"/>
      <c r="D124" s="110" t="s">
        <v>258</v>
      </c>
    </row>
    <row r="125" spans="1:4" ht="18.75">
      <c r="A125" s="93"/>
      <c r="B125" s="101"/>
      <c r="C125" s="106"/>
      <c r="D125" s="105"/>
    </row>
    <row r="126" spans="1:4" ht="18.75">
      <c r="A126" s="93"/>
      <c r="B126" s="101"/>
      <c r="C126" s="106"/>
      <c r="D126" s="105"/>
    </row>
    <row r="127" spans="1:4" ht="18.75">
      <c r="A127" s="93"/>
      <c r="B127" s="101"/>
      <c r="C127" s="106"/>
      <c r="D127" s="105"/>
    </row>
    <row r="128" spans="1:4" ht="18.75">
      <c r="A128" s="93"/>
      <c r="B128" s="101"/>
      <c r="C128" s="106"/>
      <c r="D128" s="105"/>
    </row>
    <row r="129" spans="1:4" ht="18.75">
      <c r="A129" s="93"/>
      <c r="B129" s="104"/>
      <c r="C129" s="103"/>
      <c r="D129" s="105"/>
    </row>
    <row r="130" spans="1:4" ht="26.25">
      <c r="A130" s="93"/>
      <c r="B130" s="102"/>
      <c r="C130" s="101"/>
      <c r="D130" s="101"/>
    </row>
    <row r="131" spans="1:4" ht="25.5">
      <c r="A131" s="93"/>
      <c r="B131" s="134" t="s">
        <v>99</v>
      </c>
      <c r="C131" s="134"/>
      <c r="D131" s="134"/>
    </row>
    <row r="132" spans="1:4" ht="25.5">
      <c r="A132" s="93"/>
      <c r="B132" s="134" t="s">
        <v>254</v>
      </c>
      <c r="C132" s="134"/>
      <c r="D132" s="134"/>
    </row>
    <row r="133" spans="1:4" ht="25.5">
      <c r="A133" s="93"/>
      <c r="B133" s="134" t="s">
        <v>255</v>
      </c>
      <c r="C133" s="134"/>
      <c r="D133" s="134"/>
    </row>
    <row r="134" spans="1:4" ht="25.5">
      <c r="A134" s="93"/>
      <c r="B134" s="134" t="s">
        <v>267</v>
      </c>
      <c r="C134" s="134"/>
      <c r="D134" s="134"/>
    </row>
    <row r="135" spans="1:4">
      <c r="A135" s="93"/>
      <c r="B135" s="101"/>
      <c r="C135" s="101"/>
      <c r="D135" s="101"/>
    </row>
    <row r="136" spans="1:4">
      <c r="A136" s="93"/>
      <c r="B136" s="101"/>
      <c r="C136" s="101"/>
      <c r="D136" s="101"/>
    </row>
    <row r="137" spans="1:4" ht="25.5">
      <c r="A137" s="101"/>
      <c r="B137" s="134"/>
      <c r="C137" s="134"/>
      <c r="D137" s="134"/>
    </row>
    <row r="138" spans="1:4" ht="18.75">
      <c r="A138" s="101"/>
      <c r="B138" s="103" t="s">
        <v>97</v>
      </c>
      <c r="C138" s="106"/>
      <c r="D138" s="103" t="s">
        <v>98</v>
      </c>
    </row>
    <row r="139" spans="1:4" ht="37.5">
      <c r="A139" s="101"/>
      <c r="B139" s="104" t="s">
        <v>278</v>
      </c>
      <c r="C139" s="106"/>
      <c r="D139" s="107" t="s">
        <v>273</v>
      </c>
    </row>
    <row r="140" spans="1:4" ht="37.5">
      <c r="A140" s="101"/>
      <c r="B140" s="104" t="s">
        <v>277</v>
      </c>
      <c r="C140" s="108"/>
      <c r="D140" s="107" t="s">
        <v>282</v>
      </c>
    </row>
    <row r="141" spans="1:4" ht="18.75">
      <c r="A141" s="101"/>
      <c r="B141" s="107" t="s">
        <v>252</v>
      </c>
      <c r="C141" s="108"/>
      <c r="D141" s="107" t="s">
        <v>283</v>
      </c>
    </row>
    <row r="142" spans="1:4" ht="18.75">
      <c r="A142" s="101"/>
      <c r="B142" s="101"/>
      <c r="C142" s="108"/>
      <c r="D142" s="109"/>
    </row>
    <row r="143" spans="1:4" ht="18.75">
      <c r="A143" s="101"/>
      <c r="B143" s="101"/>
      <c r="C143" s="108"/>
      <c r="D143" s="109"/>
    </row>
    <row r="144" spans="1:4" ht="18.75">
      <c r="A144" s="101"/>
      <c r="B144" s="101"/>
      <c r="C144" s="108"/>
      <c r="D144" s="109"/>
    </row>
    <row r="145" spans="1:4" ht="18.75">
      <c r="A145" s="101"/>
      <c r="B145" s="101"/>
      <c r="C145" s="108"/>
      <c r="D145" s="109"/>
    </row>
    <row r="146" spans="1:4" ht="18.75">
      <c r="A146" s="101"/>
      <c r="B146" s="101"/>
      <c r="C146" s="108"/>
      <c r="D146" s="109"/>
    </row>
    <row r="147" spans="1:4" ht="18.75">
      <c r="A147" s="101"/>
      <c r="B147" s="101"/>
      <c r="C147" s="106"/>
      <c r="D147" s="105"/>
    </row>
    <row r="148" spans="1:4" ht="18.75">
      <c r="A148" s="101"/>
      <c r="B148" s="101"/>
      <c r="C148" s="106"/>
      <c r="D148" s="105"/>
    </row>
    <row r="149" spans="1:4" ht="18.75">
      <c r="A149" s="101"/>
      <c r="B149" s="101"/>
      <c r="C149" s="106"/>
      <c r="D149" s="105"/>
    </row>
    <row r="150" spans="1:4" ht="25.5">
      <c r="A150" s="101"/>
      <c r="B150" s="134" t="s">
        <v>99</v>
      </c>
      <c r="C150" s="134"/>
      <c r="D150" s="134"/>
    </row>
    <row r="151" spans="1:4" ht="25.5">
      <c r="A151" s="101"/>
      <c r="B151" s="134" t="s">
        <v>175</v>
      </c>
      <c r="C151" s="134"/>
      <c r="D151" s="134"/>
    </row>
    <row r="152" spans="1:4" ht="25.5">
      <c r="A152" s="101"/>
      <c r="B152" s="134" t="s">
        <v>286</v>
      </c>
      <c r="C152" s="134"/>
      <c r="D152" s="134"/>
    </row>
    <row r="153" spans="1:4" ht="25.5">
      <c r="A153" s="101"/>
      <c r="B153" s="134" t="s">
        <v>285</v>
      </c>
      <c r="C153" s="134"/>
      <c r="D153" s="134"/>
    </row>
    <row r="154" spans="1:4" ht="25.5">
      <c r="A154" s="101"/>
      <c r="B154" s="134" t="s">
        <v>280</v>
      </c>
      <c r="C154" s="134"/>
      <c r="D154" s="134"/>
    </row>
    <row r="155" spans="1:4" ht="25.5">
      <c r="A155" s="101"/>
      <c r="B155" s="134"/>
      <c r="C155" s="134"/>
      <c r="D155" s="134"/>
    </row>
    <row r="156" spans="1:4" ht="18.75">
      <c r="A156" s="101"/>
      <c r="B156" s="101"/>
      <c r="C156" s="106"/>
      <c r="D156" s="105"/>
    </row>
    <row r="157" spans="1:4" ht="18.75">
      <c r="A157" s="101"/>
      <c r="B157" s="103"/>
      <c r="C157" s="103" t="s">
        <v>281</v>
      </c>
      <c r="D157" s="103"/>
    </row>
    <row r="158" spans="1:4" ht="18.75">
      <c r="A158" s="101"/>
      <c r="B158" s="104"/>
      <c r="C158" s="106"/>
      <c r="D158" s="103"/>
    </row>
    <row r="159" spans="1:4" ht="18.75">
      <c r="A159" s="101"/>
      <c r="B159" s="104"/>
      <c r="C159" s="108"/>
      <c r="D159" s="107"/>
    </row>
    <row r="160" spans="1:4">
      <c r="A160" s="93"/>
      <c r="B160" s="93"/>
      <c r="C160" s="93"/>
      <c r="D160" s="93"/>
    </row>
    <row r="161" spans="1:4">
      <c r="A161" s="93"/>
      <c r="B161" s="93"/>
      <c r="C161" s="93"/>
      <c r="D161" s="93"/>
    </row>
    <row r="162" spans="1:4">
      <c r="A162" s="93"/>
      <c r="B162" s="93"/>
      <c r="C162" s="93"/>
      <c r="D162" s="93"/>
    </row>
    <row r="163" spans="1:4">
      <c r="A163" s="93"/>
      <c r="B163" s="93"/>
      <c r="C163" s="93"/>
      <c r="D163" s="93"/>
    </row>
    <row r="164" spans="1:4">
      <c r="A164" s="93"/>
      <c r="B164" s="93"/>
      <c r="C164" s="93"/>
      <c r="D164" s="93"/>
    </row>
    <row r="165" spans="1:4">
      <c r="A165" s="93"/>
      <c r="B165" s="93"/>
      <c r="C165" s="93"/>
      <c r="D165" s="93"/>
    </row>
    <row r="166" spans="1:4">
      <c r="A166" s="93"/>
      <c r="B166" s="93"/>
      <c r="C166" s="93"/>
      <c r="D166" s="93"/>
    </row>
    <row r="167" spans="1:4">
      <c r="A167" s="93"/>
      <c r="B167" s="93"/>
      <c r="C167" s="93"/>
      <c r="D167" s="93"/>
    </row>
    <row r="168" spans="1:4">
      <c r="A168" s="93"/>
      <c r="B168" s="93"/>
      <c r="C168" s="93"/>
      <c r="D168" s="93"/>
    </row>
    <row r="169" spans="1:4">
      <c r="A169" s="93"/>
      <c r="B169" s="93"/>
      <c r="C169" s="93"/>
      <c r="D169" s="93"/>
    </row>
    <row r="170" spans="1:4">
      <c r="A170" s="93"/>
      <c r="B170" s="93"/>
      <c r="C170" s="93"/>
      <c r="D170" s="93"/>
    </row>
    <row r="171" spans="1:4">
      <c r="A171" s="93"/>
      <c r="B171" s="93"/>
      <c r="C171" s="93"/>
      <c r="D171" s="93"/>
    </row>
    <row r="172" spans="1:4">
      <c r="A172" s="93"/>
      <c r="B172" s="93"/>
      <c r="C172" s="93"/>
      <c r="D172" s="93"/>
    </row>
    <row r="173" spans="1:4">
      <c r="A173" s="93"/>
      <c r="B173" s="93"/>
      <c r="C173" s="93"/>
      <c r="D173" s="93"/>
    </row>
    <row r="174" spans="1:4">
      <c r="A174" s="93"/>
      <c r="B174" s="93"/>
      <c r="C174" s="93"/>
      <c r="D174" s="93"/>
    </row>
    <row r="175" spans="1:4">
      <c r="A175" s="93"/>
      <c r="B175" s="93"/>
      <c r="C175" s="93"/>
      <c r="D175" s="93"/>
    </row>
    <row r="176" spans="1:4">
      <c r="A176" s="93"/>
      <c r="B176" s="93"/>
      <c r="C176" s="93"/>
      <c r="D176" s="93"/>
    </row>
    <row r="177" spans="1:4">
      <c r="A177" s="93"/>
      <c r="B177" s="93"/>
      <c r="C177" s="93"/>
      <c r="D177" s="93"/>
    </row>
    <row r="178" spans="1:4">
      <c r="A178" s="93"/>
      <c r="B178" s="93"/>
      <c r="C178" s="93"/>
      <c r="D178" s="93"/>
    </row>
    <row r="179" spans="1:4">
      <c r="A179" s="93"/>
      <c r="B179" s="93"/>
      <c r="C179" s="93"/>
      <c r="D179" s="93"/>
    </row>
    <row r="180" spans="1:4">
      <c r="A180" s="93"/>
      <c r="B180" s="93"/>
      <c r="C180" s="93"/>
      <c r="D180" s="93"/>
    </row>
    <row r="181" spans="1:4">
      <c r="A181" s="93"/>
      <c r="B181" s="93"/>
      <c r="C181" s="93"/>
      <c r="D181" s="93"/>
    </row>
    <row r="182" spans="1:4">
      <c r="A182" s="93"/>
      <c r="B182" s="93"/>
      <c r="C182" s="93"/>
      <c r="D182" s="93"/>
    </row>
    <row r="183" spans="1:4">
      <c r="A183" s="93"/>
      <c r="B183" s="93"/>
      <c r="C183" s="93"/>
      <c r="D183" s="93"/>
    </row>
    <row r="184" spans="1:4">
      <c r="A184" s="93"/>
      <c r="B184" s="93"/>
      <c r="C184" s="93"/>
      <c r="D184" s="93"/>
    </row>
    <row r="185" spans="1:4">
      <c r="A185" s="93"/>
      <c r="B185" s="93"/>
      <c r="C185" s="93"/>
      <c r="D185" s="93"/>
    </row>
    <row r="186" spans="1:4">
      <c r="A186" s="93"/>
      <c r="B186" s="93"/>
      <c r="C186" s="93"/>
      <c r="D186" s="93"/>
    </row>
    <row r="187" spans="1:4">
      <c r="A187" s="93"/>
      <c r="B187" s="93"/>
      <c r="C187" s="93"/>
      <c r="D187" s="93"/>
    </row>
    <row r="188" spans="1:4">
      <c r="A188" s="93"/>
      <c r="B188" s="93"/>
      <c r="C188" s="93"/>
      <c r="D188" s="93"/>
    </row>
    <row r="189" spans="1:4">
      <c r="A189" s="93"/>
      <c r="B189" s="93"/>
      <c r="C189" s="93"/>
      <c r="D189" s="93"/>
    </row>
    <row r="190" spans="1:4">
      <c r="A190" s="93"/>
      <c r="B190" s="93"/>
      <c r="C190" s="93"/>
      <c r="D190" s="93"/>
    </row>
    <row r="191" spans="1:4">
      <c r="A191" s="93"/>
      <c r="B191" s="93"/>
      <c r="C191" s="93"/>
      <c r="D191" s="93"/>
    </row>
    <row r="192" spans="1:4">
      <c r="A192" s="93"/>
      <c r="B192" s="93"/>
      <c r="C192" s="93"/>
      <c r="D192" s="93"/>
    </row>
    <row r="193" spans="1:4">
      <c r="A193" s="93"/>
      <c r="B193" s="93"/>
      <c r="C193" s="93"/>
      <c r="D193" s="93"/>
    </row>
    <row r="194" spans="1:4">
      <c r="A194" s="93"/>
      <c r="B194" s="93"/>
      <c r="C194" s="93"/>
      <c r="D194" s="93"/>
    </row>
    <row r="195" spans="1:4">
      <c r="A195" s="93"/>
      <c r="B195" s="93"/>
      <c r="C195" s="93"/>
      <c r="D195" s="93"/>
    </row>
    <row r="196" spans="1:4">
      <c r="A196" s="93"/>
      <c r="B196" s="93"/>
      <c r="C196" s="93"/>
      <c r="D196" s="93"/>
    </row>
    <row r="197" spans="1:4">
      <c r="A197" s="93"/>
      <c r="B197" s="93"/>
      <c r="C197" s="93"/>
      <c r="D197" s="93"/>
    </row>
    <row r="198" spans="1:4">
      <c r="A198" s="93"/>
      <c r="B198" s="93"/>
      <c r="C198" s="93"/>
      <c r="D198" s="93"/>
    </row>
    <row r="199" spans="1:4">
      <c r="A199" s="93"/>
      <c r="B199" s="93"/>
      <c r="C199" s="93"/>
      <c r="D199" s="93"/>
    </row>
    <row r="200" spans="1:4">
      <c r="A200" s="93"/>
      <c r="B200" s="93"/>
      <c r="C200" s="93"/>
      <c r="D200" s="93"/>
    </row>
    <row r="201" spans="1:4">
      <c r="A201" s="93"/>
      <c r="B201" s="93"/>
      <c r="C201" s="93"/>
      <c r="D201" s="93"/>
    </row>
    <row r="202" spans="1:4">
      <c r="A202" s="93"/>
      <c r="B202" s="93"/>
      <c r="C202" s="93"/>
      <c r="D202" s="93"/>
    </row>
    <row r="203" spans="1:4">
      <c r="A203" s="93"/>
      <c r="B203" s="93"/>
      <c r="C203" s="93"/>
      <c r="D203" s="93"/>
    </row>
    <row r="204" spans="1:4">
      <c r="A204" s="93"/>
      <c r="B204" s="93"/>
      <c r="C204" s="93"/>
      <c r="D204" s="93"/>
    </row>
    <row r="205" spans="1:4">
      <c r="A205" s="93"/>
      <c r="B205" s="93"/>
      <c r="C205" s="93"/>
      <c r="D205" s="93"/>
    </row>
    <row r="206" spans="1:4">
      <c r="A206" s="93"/>
      <c r="B206" s="93"/>
      <c r="C206" s="93"/>
      <c r="D206" s="93"/>
    </row>
    <row r="207" spans="1:4">
      <c r="A207" s="93"/>
      <c r="B207" s="93"/>
      <c r="C207" s="93"/>
      <c r="D207" s="93"/>
    </row>
    <row r="208" spans="1:4">
      <c r="A208" s="93"/>
      <c r="B208" s="93"/>
      <c r="C208" s="93"/>
      <c r="D208" s="93"/>
    </row>
    <row r="209" spans="1:4">
      <c r="A209" s="93"/>
      <c r="B209" s="93"/>
      <c r="C209" s="93"/>
      <c r="D209" s="93"/>
    </row>
    <row r="210" spans="1:4">
      <c r="A210" s="93"/>
      <c r="B210" s="93"/>
      <c r="C210" s="93"/>
      <c r="D210" s="93"/>
    </row>
    <row r="211" spans="1:4">
      <c r="A211" s="93"/>
      <c r="B211" s="93"/>
      <c r="C211" s="93"/>
      <c r="D211" s="93"/>
    </row>
    <row r="212" spans="1:4">
      <c r="A212" s="93"/>
      <c r="B212" s="93"/>
      <c r="C212" s="93"/>
      <c r="D212" s="93"/>
    </row>
    <row r="213" spans="1:4">
      <c r="A213" s="93"/>
      <c r="B213" s="93"/>
      <c r="C213" s="93"/>
      <c r="D213" s="93"/>
    </row>
  </sheetData>
  <mergeCells count="46">
    <mergeCell ref="B67:D67"/>
    <mergeCell ref="B68:D68"/>
    <mergeCell ref="B70:D70"/>
    <mergeCell ref="B132:D132"/>
    <mergeCell ref="B133:D133"/>
    <mergeCell ref="B100:D100"/>
    <mergeCell ref="B101:D101"/>
    <mergeCell ref="B102:D102"/>
    <mergeCell ref="B103:D103"/>
    <mergeCell ref="B87:D87"/>
    <mergeCell ref="B83:D83"/>
    <mergeCell ref="B84:D84"/>
    <mergeCell ref="B85:D85"/>
    <mergeCell ref="B86:D86"/>
    <mergeCell ref="B69:D69"/>
    <mergeCell ref="B134:D134"/>
    <mergeCell ref="B116:D116"/>
    <mergeCell ref="B117:D117"/>
    <mergeCell ref="B118:D118"/>
    <mergeCell ref="B119:D119"/>
    <mergeCell ref="B131:D131"/>
    <mergeCell ref="B65:D65"/>
    <mergeCell ref="B66:D66"/>
    <mergeCell ref="B29:D29"/>
    <mergeCell ref="B27:D27"/>
    <mergeCell ref="B28:D28"/>
    <mergeCell ref="B30:D30"/>
    <mergeCell ref="B31:D31"/>
    <mergeCell ref="B32:D32"/>
    <mergeCell ref="B45:D45"/>
    <mergeCell ref="B46:D46"/>
    <mergeCell ref="B47:D47"/>
    <mergeCell ref="B48:D48"/>
    <mergeCell ref="B52:D52"/>
    <mergeCell ref="B14:D14"/>
    <mergeCell ref="B12:D12"/>
    <mergeCell ref="B13:D13"/>
    <mergeCell ref="B15:D15"/>
    <mergeCell ref="B18:D18"/>
    <mergeCell ref="B154:D154"/>
    <mergeCell ref="B155:D155"/>
    <mergeCell ref="B137:D137"/>
    <mergeCell ref="B150:D150"/>
    <mergeCell ref="B151:D151"/>
    <mergeCell ref="B152:D152"/>
    <mergeCell ref="B153:D153"/>
  </mergeCells>
  <pageMargins left="0.7" right="0.7" top="0.75" bottom="0.75" header="0.3" footer="0.3"/>
  <pageSetup paperSize="9"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6"/>
  <sheetViews>
    <sheetView workbookViewId="0">
      <selection activeCell="H13" sqref="H13"/>
    </sheetView>
  </sheetViews>
  <sheetFormatPr defaultColWidth="9.140625" defaultRowHeight="15"/>
  <cols>
    <col min="1" max="1" width="9.140625" style="75"/>
    <col min="2" max="2" width="53.7109375" style="75" customWidth="1"/>
    <col min="3" max="3" width="42.85546875" style="75" customWidth="1"/>
    <col min="4" max="4" width="58.7109375" style="75" customWidth="1"/>
    <col min="5" max="16384" width="9.140625" style="75"/>
  </cols>
  <sheetData>
    <row r="2" spans="2:4" ht="18.75">
      <c r="B2" s="76" t="s">
        <v>97</v>
      </c>
      <c r="C2" s="79"/>
      <c r="D2" s="76" t="s">
        <v>98</v>
      </c>
    </row>
    <row r="3" spans="2:4" ht="18.75">
      <c r="B3" s="77"/>
      <c r="C3" s="79"/>
      <c r="D3" s="76"/>
    </row>
    <row r="4" spans="2:4" ht="37.5">
      <c r="B4" s="80" t="s">
        <v>206</v>
      </c>
      <c r="C4" s="83"/>
      <c r="D4" s="84" t="s">
        <v>133</v>
      </c>
    </row>
    <row r="5" spans="2:4" ht="18.75">
      <c r="B5" s="80" t="s">
        <v>207</v>
      </c>
      <c r="C5" s="83"/>
      <c r="D5" s="84" t="s">
        <v>100</v>
      </c>
    </row>
    <row r="6" spans="2:4" ht="18.75">
      <c r="B6" s="85" t="s">
        <v>174</v>
      </c>
      <c r="C6" s="81"/>
      <c r="D6" s="82"/>
    </row>
    <row r="7" spans="2:4" ht="18.75">
      <c r="C7" s="79"/>
      <c r="D7" s="78"/>
    </row>
    <row r="8" spans="2:4" ht="18.75">
      <c r="C8" s="79"/>
      <c r="D8" s="78"/>
    </row>
    <row r="9" spans="2:4" ht="18.75">
      <c r="C9" s="79"/>
      <c r="D9" s="78"/>
    </row>
    <row r="10" spans="2:4" ht="25.5">
      <c r="B10" s="134" t="s">
        <v>99</v>
      </c>
      <c r="C10" s="134"/>
      <c r="D10" s="134"/>
    </row>
    <row r="11" spans="2:4" ht="25.5">
      <c r="B11" s="134" t="s">
        <v>175</v>
      </c>
      <c r="C11" s="134"/>
      <c r="D11" s="134"/>
    </row>
    <row r="12" spans="2:4" ht="25.5">
      <c r="B12" s="134" t="s">
        <v>176</v>
      </c>
      <c r="C12" s="134"/>
      <c r="D12" s="134"/>
    </row>
    <row r="13" spans="2:4" ht="25.5">
      <c r="B13" s="135" t="s">
        <v>177</v>
      </c>
      <c r="C13" s="135"/>
      <c r="D13" s="135"/>
    </row>
    <row r="14" spans="2:4" ht="18.75">
      <c r="B14" s="76"/>
      <c r="C14" s="79"/>
      <c r="D14" s="76"/>
    </row>
    <row r="15" spans="2:4" ht="25.5">
      <c r="B15" s="134"/>
      <c r="C15" s="134"/>
      <c r="D15" s="134"/>
    </row>
    <row r="16" spans="2:4" ht="25.5">
      <c r="B16" s="135"/>
      <c r="C16" s="135"/>
      <c r="D16" s="135"/>
    </row>
  </sheetData>
  <mergeCells count="6">
    <mergeCell ref="B16:D16"/>
    <mergeCell ref="B10:D10"/>
    <mergeCell ref="B11:D11"/>
    <mergeCell ref="B12:D12"/>
    <mergeCell ref="B13:D13"/>
    <mergeCell ref="B15:D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5"/>
  <sheetViews>
    <sheetView topLeftCell="B165" zoomScale="80" zoomScaleNormal="80" workbookViewId="0">
      <selection activeCell="E98" sqref="E98"/>
    </sheetView>
  </sheetViews>
  <sheetFormatPr defaultColWidth="9.140625" defaultRowHeight="18.75"/>
  <cols>
    <col min="1" max="1" width="0" style="27" hidden="1" customWidth="1"/>
    <col min="2" max="2" width="19.28515625" style="27" customWidth="1"/>
    <col min="3" max="3" width="59.28515625" style="27" customWidth="1"/>
    <col min="4" max="4" width="12.42578125" style="48" customWidth="1"/>
    <col min="5" max="5" width="11.28515625" style="27" customWidth="1"/>
    <col min="6" max="6" width="8.85546875" style="27" customWidth="1"/>
    <col min="7" max="7" width="13" style="27" customWidth="1"/>
    <col min="8" max="8" width="14.28515625" style="27" customWidth="1"/>
    <col min="9" max="9" width="10.5703125" style="27" customWidth="1"/>
    <col min="10" max="10" width="8.85546875" style="27" customWidth="1"/>
    <col min="11" max="11" width="9.85546875" style="27" customWidth="1"/>
    <col min="12" max="12" width="9.42578125" style="27" customWidth="1"/>
    <col min="13" max="13" width="10.28515625" style="27" customWidth="1"/>
    <col min="14" max="14" width="11.28515625" style="27" customWidth="1"/>
    <col min="15" max="15" width="10.7109375" style="27" customWidth="1"/>
    <col min="16" max="16" width="9.7109375" style="27" customWidth="1"/>
    <col min="17" max="17" width="9" style="27" customWidth="1"/>
    <col min="18" max="16384" width="9.140625" style="27"/>
  </cols>
  <sheetData>
    <row r="1" spans="1:16" s="36" customFormat="1">
      <c r="B1" s="38"/>
      <c r="C1" s="38"/>
      <c r="D1" s="44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36" customFormat="1">
      <c r="B2" s="39" t="s">
        <v>113</v>
      </c>
      <c r="C2" s="38"/>
      <c r="D2" s="4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36" customFormat="1">
      <c r="B3" s="39" t="s">
        <v>114</v>
      </c>
      <c r="C3" s="38"/>
      <c r="D3" s="4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36" customFormat="1">
      <c r="B4" s="39" t="s">
        <v>115</v>
      </c>
      <c r="C4" s="38"/>
      <c r="D4" s="44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>
      <c r="B5" s="28"/>
      <c r="C5" s="28"/>
      <c r="D5" s="45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46.5" customHeight="1">
      <c r="B6" s="136" t="s">
        <v>0</v>
      </c>
      <c r="C6" s="136" t="s">
        <v>1</v>
      </c>
      <c r="D6" s="139" t="s">
        <v>2</v>
      </c>
      <c r="E6" s="136" t="s">
        <v>3</v>
      </c>
      <c r="F6" s="136"/>
      <c r="G6" s="136"/>
      <c r="H6" s="136" t="s">
        <v>4</v>
      </c>
      <c r="I6" s="136" t="s">
        <v>5</v>
      </c>
      <c r="J6" s="136"/>
      <c r="K6" s="136"/>
      <c r="L6" s="136"/>
      <c r="M6" s="136" t="s">
        <v>6</v>
      </c>
      <c r="N6" s="136"/>
      <c r="O6" s="136"/>
      <c r="P6" s="136"/>
    </row>
    <row r="7" spans="1:16" ht="27.75" customHeight="1">
      <c r="B7" s="136"/>
      <c r="C7" s="136"/>
      <c r="D7" s="139"/>
      <c r="E7" s="66" t="s">
        <v>7</v>
      </c>
      <c r="F7" s="66" t="s">
        <v>8</v>
      </c>
      <c r="G7" s="66" t="s">
        <v>9</v>
      </c>
      <c r="H7" s="136"/>
      <c r="I7" s="66" t="s">
        <v>116</v>
      </c>
      <c r="J7" s="66" t="s">
        <v>10</v>
      </c>
      <c r="K7" s="66" t="s">
        <v>11</v>
      </c>
      <c r="L7" s="66" t="s">
        <v>12</v>
      </c>
      <c r="M7" s="66" t="s">
        <v>13</v>
      </c>
      <c r="N7" s="66" t="s">
        <v>14</v>
      </c>
      <c r="O7" s="66" t="s">
        <v>15</v>
      </c>
      <c r="P7" s="66" t="s">
        <v>16</v>
      </c>
    </row>
    <row r="8" spans="1:16">
      <c r="B8" s="136" t="s">
        <v>17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6" ht="22.5" customHeight="1">
      <c r="A9" s="27">
        <v>1</v>
      </c>
      <c r="B9" s="117" t="s">
        <v>60</v>
      </c>
      <c r="C9" s="71" t="s">
        <v>29</v>
      </c>
      <c r="D9" s="118">
        <v>200</v>
      </c>
      <c r="E9" s="30">
        <v>10.6</v>
      </c>
      <c r="F9" s="30">
        <v>11.6</v>
      </c>
      <c r="G9" s="30">
        <v>38.200000000000003</v>
      </c>
      <c r="H9" s="30">
        <v>299.60000000000002</v>
      </c>
      <c r="I9" s="30">
        <v>0.06</v>
      </c>
      <c r="J9" s="30">
        <v>0.06</v>
      </c>
      <c r="K9" s="30">
        <v>0.06</v>
      </c>
      <c r="L9" s="30">
        <v>0.94</v>
      </c>
      <c r="M9" s="30">
        <v>168</v>
      </c>
      <c r="N9" s="30">
        <v>133.4</v>
      </c>
      <c r="O9" s="30">
        <v>14.6</v>
      </c>
      <c r="P9" s="30">
        <v>1</v>
      </c>
    </row>
    <row r="10" spans="1:16" ht="20.100000000000001" customHeight="1">
      <c r="A10" s="27">
        <v>1</v>
      </c>
      <c r="B10" s="87"/>
      <c r="C10" s="37" t="s">
        <v>158</v>
      </c>
      <c r="D10" s="67">
        <v>100</v>
      </c>
      <c r="E10" s="30">
        <v>5.8</v>
      </c>
      <c r="F10" s="30">
        <v>5</v>
      </c>
      <c r="G10" s="30">
        <v>8</v>
      </c>
      <c r="H10" s="30">
        <v>100.2</v>
      </c>
      <c r="I10" s="30">
        <v>0.1</v>
      </c>
      <c r="J10" s="30">
        <v>1.4</v>
      </c>
      <c r="K10" s="30">
        <v>0.4</v>
      </c>
      <c r="L10" s="30">
        <v>0.1</v>
      </c>
      <c r="M10" s="30">
        <v>240</v>
      </c>
      <c r="N10" s="30">
        <v>165</v>
      </c>
      <c r="O10" s="30">
        <v>28</v>
      </c>
      <c r="P10" s="30">
        <v>0.2</v>
      </c>
    </row>
    <row r="11" spans="1:16" ht="20.100000000000001" customHeight="1">
      <c r="A11" s="27">
        <v>1</v>
      </c>
      <c r="B11" s="61" t="s">
        <v>164</v>
      </c>
      <c r="C11" s="37" t="s">
        <v>26</v>
      </c>
      <c r="D11" s="67" t="s">
        <v>132</v>
      </c>
      <c r="E11" s="30">
        <v>0.08</v>
      </c>
      <c r="F11" s="30">
        <v>0.02</v>
      </c>
      <c r="G11" s="30">
        <v>15</v>
      </c>
      <c r="H11" s="30">
        <v>60.5</v>
      </c>
      <c r="I11" s="30">
        <v>0</v>
      </c>
      <c r="J11" s="30">
        <v>0.04</v>
      </c>
      <c r="K11" s="30">
        <v>0</v>
      </c>
      <c r="L11" s="30">
        <v>0</v>
      </c>
      <c r="M11" s="30">
        <v>11.1</v>
      </c>
      <c r="N11" s="30">
        <v>2.8</v>
      </c>
      <c r="O11" s="30">
        <v>1.4</v>
      </c>
      <c r="P11" s="30">
        <v>0.28000000000000003</v>
      </c>
    </row>
    <row r="12" spans="1:16" ht="18" customHeight="1">
      <c r="A12" s="27">
        <v>1</v>
      </c>
      <c r="B12" s="66"/>
      <c r="C12" s="37" t="s">
        <v>247</v>
      </c>
      <c r="D12" s="67">
        <v>60</v>
      </c>
      <c r="E12" s="30">
        <v>3.3</v>
      </c>
      <c r="F12" s="30">
        <v>3.9</v>
      </c>
      <c r="G12" s="30">
        <v>20.94</v>
      </c>
      <c r="H12" s="30">
        <v>132.06</v>
      </c>
      <c r="I12" s="30">
        <v>2.4E-2</v>
      </c>
      <c r="J12" s="30">
        <v>5.3999999999999992E-2</v>
      </c>
      <c r="K12" s="30">
        <v>0.06</v>
      </c>
      <c r="L12" s="30">
        <v>2.52</v>
      </c>
      <c r="M12" s="30">
        <v>18.420000000000002</v>
      </c>
      <c r="N12" s="30">
        <v>34.26</v>
      </c>
      <c r="O12" s="30">
        <v>3.84</v>
      </c>
      <c r="P12" s="30">
        <v>0.42</v>
      </c>
    </row>
    <row r="13" spans="1:16" ht="20.100000000000001" customHeight="1">
      <c r="A13" s="27">
        <v>1</v>
      </c>
      <c r="B13" s="119"/>
      <c r="C13" s="119" t="s">
        <v>18</v>
      </c>
      <c r="D13" s="120"/>
      <c r="E13" s="119">
        <f>SUM(E9:E12)</f>
        <v>19.779999999999998</v>
      </c>
      <c r="F13" s="119">
        <f t="shared" ref="F13:P13" si="0">SUM(F9:F12)</f>
        <v>20.52</v>
      </c>
      <c r="G13" s="119">
        <f t="shared" si="0"/>
        <v>82.14</v>
      </c>
      <c r="H13" s="119">
        <f t="shared" si="0"/>
        <v>592.36</v>
      </c>
      <c r="I13" s="119">
        <f t="shared" si="0"/>
        <v>0.184</v>
      </c>
      <c r="J13" s="119">
        <f t="shared" si="0"/>
        <v>1.554</v>
      </c>
      <c r="K13" s="119">
        <f t="shared" si="0"/>
        <v>0.52</v>
      </c>
      <c r="L13" s="119">
        <f t="shared" si="0"/>
        <v>3.56</v>
      </c>
      <c r="M13" s="119">
        <f t="shared" si="0"/>
        <v>437.52000000000004</v>
      </c>
      <c r="N13" s="119">
        <f t="shared" si="0"/>
        <v>335.46</v>
      </c>
      <c r="O13" s="119">
        <f t="shared" si="0"/>
        <v>47.84</v>
      </c>
      <c r="P13" s="119">
        <f t="shared" si="0"/>
        <v>1.9</v>
      </c>
    </row>
    <row r="14" spans="1:16" ht="15.95" customHeight="1">
      <c r="A14" s="27">
        <v>1</v>
      </c>
      <c r="B14" s="136" t="s">
        <v>19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</row>
    <row r="15" spans="1:16" s="68" customFormat="1" ht="21" customHeight="1">
      <c r="B15" s="61" t="s">
        <v>200</v>
      </c>
      <c r="C15" s="71" t="s">
        <v>221</v>
      </c>
      <c r="D15" s="118">
        <v>100</v>
      </c>
      <c r="E15" s="30">
        <v>0.8</v>
      </c>
      <c r="F15" s="30">
        <v>0.1</v>
      </c>
      <c r="G15" s="30">
        <v>2.5</v>
      </c>
      <c r="H15" s="30">
        <v>14.1</v>
      </c>
      <c r="I15" s="30">
        <v>0</v>
      </c>
      <c r="J15" s="30">
        <v>10</v>
      </c>
      <c r="K15" s="30">
        <v>0</v>
      </c>
      <c r="L15" s="30">
        <v>0</v>
      </c>
      <c r="M15" s="30">
        <v>23.3</v>
      </c>
      <c r="N15" s="30">
        <v>41.6</v>
      </c>
      <c r="O15" s="30">
        <v>14</v>
      </c>
      <c r="P15" s="30">
        <v>0.6</v>
      </c>
    </row>
    <row r="16" spans="1:16" s="68" customFormat="1" ht="23.25" customHeight="1">
      <c r="B16" s="61" t="s">
        <v>190</v>
      </c>
      <c r="C16" s="71" t="s">
        <v>222</v>
      </c>
      <c r="D16" s="118">
        <v>100</v>
      </c>
      <c r="E16" s="30">
        <v>0.8</v>
      </c>
      <c r="F16" s="30">
        <v>0.1</v>
      </c>
      <c r="G16" s="30">
        <v>1.7</v>
      </c>
      <c r="H16" s="30">
        <v>10.9</v>
      </c>
      <c r="I16" s="30">
        <v>0.02</v>
      </c>
      <c r="J16" s="30">
        <v>5</v>
      </c>
      <c r="K16" s="30">
        <v>0</v>
      </c>
      <c r="L16" s="30">
        <v>0.1</v>
      </c>
      <c r="M16" s="30">
        <v>23</v>
      </c>
      <c r="N16" s="30">
        <v>24</v>
      </c>
      <c r="O16" s="30">
        <v>14</v>
      </c>
      <c r="P16" s="30">
        <v>0.6</v>
      </c>
    </row>
    <row r="17" spans="1:16" ht="20.100000000000001" customHeight="1">
      <c r="B17" s="63"/>
      <c r="C17" s="50" t="s">
        <v>55</v>
      </c>
      <c r="D17" s="49"/>
      <c r="E17" s="30">
        <f>SUM(E15:E16)/2</f>
        <v>0.8</v>
      </c>
      <c r="F17" s="30">
        <f t="shared" ref="F17:P17" si="1">SUM(F15:F16)/2</f>
        <v>0.1</v>
      </c>
      <c r="G17" s="30">
        <f t="shared" si="1"/>
        <v>2.1</v>
      </c>
      <c r="H17" s="30">
        <f t="shared" si="1"/>
        <v>12.5</v>
      </c>
      <c r="I17" s="30">
        <f t="shared" si="1"/>
        <v>0.01</v>
      </c>
      <c r="J17" s="30">
        <f t="shared" si="1"/>
        <v>7.5</v>
      </c>
      <c r="K17" s="30">
        <f t="shared" si="1"/>
        <v>0</v>
      </c>
      <c r="L17" s="30">
        <f t="shared" si="1"/>
        <v>0.05</v>
      </c>
      <c r="M17" s="30">
        <f t="shared" si="1"/>
        <v>23.15</v>
      </c>
      <c r="N17" s="30">
        <f t="shared" si="1"/>
        <v>32.799999999999997</v>
      </c>
      <c r="O17" s="30">
        <f t="shared" si="1"/>
        <v>14</v>
      </c>
      <c r="P17" s="30">
        <f t="shared" si="1"/>
        <v>0.6</v>
      </c>
    </row>
    <row r="18" spans="1:16" ht="24" customHeight="1">
      <c r="A18" s="27">
        <v>1</v>
      </c>
      <c r="B18" s="117" t="s">
        <v>165</v>
      </c>
      <c r="C18" s="71" t="s">
        <v>302</v>
      </c>
      <c r="D18" s="118">
        <v>250</v>
      </c>
      <c r="E18" s="30">
        <v>2</v>
      </c>
      <c r="F18" s="30">
        <v>2.75</v>
      </c>
      <c r="G18" s="30">
        <v>12</v>
      </c>
      <c r="H18" s="30">
        <v>80.749999999999986</v>
      </c>
      <c r="I18" s="30">
        <v>0</v>
      </c>
      <c r="J18" s="30">
        <v>0</v>
      </c>
      <c r="K18" s="30">
        <v>8.25</v>
      </c>
      <c r="L18" s="30">
        <v>1.25</v>
      </c>
      <c r="M18" s="30">
        <v>26.75</v>
      </c>
      <c r="N18" s="30">
        <v>22.75</v>
      </c>
      <c r="O18" s="30">
        <v>56</v>
      </c>
      <c r="P18" s="30">
        <v>1</v>
      </c>
    </row>
    <row r="19" spans="1:16" ht="20.100000000000001" customHeight="1">
      <c r="A19" s="27">
        <v>1</v>
      </c>
      <c r="B19" s="117" t="s">
        <v>166</v>
      </c>
      <c r="C19" s="71" t="s">
        <v>135</v>
      </c>
      <c r="D19" s="118" t="s">
        <v>303</v>
      </c>
      <c r="E19" s="30">
        <v>17.25</v>
      </c>
      <c r="F19" s="30">
        <v>17.594999999999999</v>
      </c>
      <c r="G19" s="30">
        <v>4.7149999999999999</v>
      </c>
      <c r="H19" s="30">
        <v>448.5</v>
      </c>
      <c r="I19" s="30">
        <v>0</v>
      </c>
      <c r="J19" s="30">
        <v>0.46</v>
      </c>
      <c r="K19" s="30">
        <v>2.415</v>
      </c>
      <c r="L19" s="30">
        <v>6.21</v>
      </c>
      <c r="M19" s="30">
        <v>40.019999999999996</v>
      </c>
      <c r="N19" s="30">
        <v>290.95</v>
      </c>
      <c r="O19" s="30">
        <v>224.25</v>
      </c>
      <c r="P19" s="30">
        <v>5.1749999999999998</v>
      </c>
    </row>
    <row r="20" spans="1:16" ht="20.100000000000001" customHeight="1">
      <c r="B20" s="117" t="s">
        <v>167</v>
      </c>
      <c r="C20" s="71" t="s">
        <v>304</v>
      </c>
      <c r="D20" s="118">
        <v>180</v>
      </c>
      <c r="E20" s="30">
        <v>4.1580000000000004</v>
      </c>
      <c r="F20" s="30">
        <v>3.78</v>
      </c>
      <c r="G20" s="30">
        <v>29.54</v>
      </c>
      <c r="H20" s="30">
        <v>168.81200000000001</v>
      </c>
      <c r="I20" s="30">
        <v>4.2000000000000003E-2</v>
      </c>
      <c r="J20" s="30">
        <v>0</v>
      </c>
      <c r="K20" s="30">
        <v>18.059999999999999</v>
      </c>
      <c r="L20" s="30">
        <v>0.54600000000000004</v>
      </c>
      <c r="M20" s="30">
        <v>18.522000000000002</v>
      </c>
      <c r="N20" s="30">
        <v>144.42400000000001</v>
      </c>
      <c r="O20" s="30">
        <v>17.71</v>
      </c>
      <c r="P20" s="30">
        <v>0.82599999999999996</v>
      </c>
    </row>
    <row r="21" spans="1:16" ht="20.100000000000001" customHeight="1">
      <c r="A21" s="27">
        <v>1</v>
      </c>
      <c r="B21" s="61" t="s">
        <v>181</v>
      </c>
      <c r="C21" s="37" t="s">
        <v>58</v>
      </c>
      <c r="D21" s="67">
        <v>200</v>
      </c>
      <c r="E21" s="30">
        <v>0.28000000000000003</v>
      </c>
      <c r="F21" s="30">
        <v>0.1</v>
      </c>
      <c r="G21" s="30">
        <v>28.88</v>
      </c>
      <c r="H21" s="30">
        <v>117.54</v>
      </c>
      <c r="I21" s="30">
        <v>0</v>
      </c>
      <c r="J21" s="30">
        <v>19.3</v>
      </c>
      <c r="K21" s="30">
        <v>0</v>
      </c>
      <c r="L21" s="30">
        <v>0.16</v>
      </c>
      <c r="M21" s="30">
        <v>13.66</v>
      </c>
      <c r="N21" s="30">
        <v>7.38</v>
      </c>
      <c r="O21" s="30">
        <v>5.78</v>
      </c>
      <c r="P21" s="30">
        <v>0.46800000000000003</v>
      </c>
    </row>
    <row r="22" spans="1:16" ht="20.100000000000001" customHeight="1">
      <c r="A22" s="27">
        <v>1</v>
      </c>
      <c r="B22" s="117" t="s">
        <v>182</v>
      </c>
      <c r="C22" s="71" t="s">
        <v>20</v>
      </c>
      <c r="D22" s="118">
        <v>40</v>
      </c>
      <c r="E22" s="30">
        <v>3.0666666666666664</v>
      </c>
      <c r="F22" s="30">
        <v>0.26666666666666672</v>
      </c>
      <c r="G22" s="30">
        <v>19.733333333333334</v>
      </c>
      <c r="H22" s="30">
        <v>93.6</v>
      </c>
      <c r="I22" s="30">
        <v>0</v>
      </c>
      <c r="J22" s="30">
        <v>0</v>
      </c>
      <c r="K22" s="30">
        <v>0</v>
      </c>
      <c r="L22" s="30">
        <v>0.4</v>
      </c>
      <c r="M22" s="30">
        <v>8</v>
      </c>
      <c r="N22" s="30">
        <v>26</v>
      </c>
      <c r="O22" s="30">
        <v>5.6000000000000014</v>
      </c>
      <c r="P22" s="30">
        <v>0.4</v>
      </c>
    </row>
    <row r="23" spans="1:16" ht="20.100000000000001" customHeight="1">
      <c r="A23" s="27">
        <v>1</v>
      </c>
      <c r="B23" s="117" t="s">
        <v>192</v>
      </c>
      <c r="C23" s="71" t="s">
        <v>21</v>
      </c>
      <c r="D23" s="118">
        <v>50</v>
      </c>
      <c r="E23" s="30">
        <v>3.25</v>
      </c>
      <c r="F23" s="30">
        <v>0.625</v>
      </c>
      <c r="G23" s="30">
        <v>19.75</v>
      </c>
      <c r="H23" s="30">
        <v>97.625</v>
      </c>
      <c r="I23" s="30">
        <v>0.125</v>
      </c>
      <c r="J23" s="30">
        <v>0</v>
      </c>
      <c r="K23" s="30">
        <v>0</v>
      </c>
      <c r="L23" s="30">
        <v>0.75</v>
      </c>
      <c r="M23" s="30">
        <v>14.499999999999998</v>
      </c>
      <c r="N23" s="30">
        <v>75</v>
      </c>
      <c r="O23" s="30">
        <v>23.5</v>
      </c>
      <c r="P23" s="30">
        <v>2</v>
      </c>
    </row>
    <row r="24" spans="1:16" ht="20.100000000000001" customHeight="1">
      <c r="A24" s="27">
        <v>1</v>
      </c>
      <c r="B24" s="119"/>
      <c r="C24" s="119" t="s">
        <v>18</v>
      </c>
      <c r="D24" s="120"/>
      <c r="E24" s="119">
        <f>SUM(E17:E23)</f>
        <v>30.80466666666667</v>
      </c>
      <c r="F24" s="119">
        <f t="shared" ref="F24:P24" si="2">SUM(F17:F23)</f>
        <v>25.216666666666669</v>
      </c>
      <c r="G24" s="119">
        <f t="shared" si="2"/>
        <v>116.71833333333333</v>
      </c>
      <c r="H24" s="119">
        <f t="shared" si="2"/>
        <v>1019.327</v>
      </c>
      <c r="I24" s="119">
        <f t="shared" si="2"/>
        <v>0.17699999999999999</v>
      </c>
      <c r="J24" s="119">
        <f t="shared" si="2"/>
        <v>27.26</v>
      </c>
      <c r="K24" s="119">
        <f t="shared" si="2"/>
        <v>28.724999999999998</v>
      </c>
      <c r="L24" s="119">
        <f t="shared" si="2"/>
        <v>9.3659999999999997</v>
      </c>
      <c r="M24" s="119">
        <f t="shared" si="2"/>
        <v>144.60199999999998</v>
      </c>
      <c r="N24" s="119">
        <f t="shared" si="2"/>
        <v>599.30399999999997</v>
      </c>
      <c r="O24" s="119">
        <f t="shared" si="2"/>
        <v>346.84</v>
      </c>
      <c r="P24" s="119">
        <f t="shared" si="2"/>
        <v>10.469000000000001</v>
      </c>
    </row>
    <row r="25" spans="1:16" ht="20.100000000000001" customHeight="1">
      <c r="A25" s="27">
        <v>1</v>
      </c>
      <c r="B25" s="136" t="s">
        <v>22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</row>
    <row r="26" spans="1:16" ht="24" customHeight="1">
      <c r="A26" s="27">
        <v>1</v>
      </c>
      <c r="B26" s="117" t="s">
        <v>168</v>
      </c>
      <c r="C26" s="71" t="s">
        <v>52</v>
      </c>
      <c r="D26" s="118">
        <v>200</v>
      </c>
      <c r="E26" s="30">
        <v>12.45</v>
      </c>
      <c r="F26" s="30">
        <v>15.45</v>
      </c>
      <c r="G26" s="30">
        <v>4.8</v>
      </c>
      <c r="H26" s="30">
        <v>163.95</v>
      </c>
      <c r="I26" s="30">
        <v>0.12</v>
      </c>
      <c r="J26" s="30">
        <v>0.6</v>
      </c>
      <c r="K26" s="30">
        <v>0.39</v>
      </c>
      <c r="L26" s="30">
        <v>0.75</v>
      </c>
      <c r="M26" s="30">
        <v>216</v>
      </c>
      <c r="N26" s="30">
        <v>403.5</v>
      </c>
      <c r="O26" s="30">
        <v>33</v>
      </c>
      <c r="P26" s="30">
        <v>4.2</v>
      </c>
    </row>
    <row r="27" spans="1:16" ht="18" customHeight="1">
      <c r="B27" s="66" t="s">
        <v>179</v>
      </c>
      <c r="C27" s="37" t="s">
        <v>20</v>
      </c>
      <c r="D27" s="62">
        <v>30</v>
      </c>
      <c r="E27" s="30">
        <v>2.3010000000000002</v>
      </c>
      <c r="F27" s="30">
        <v>0.20100000000000001</v>
      </c>
      <c r="G27" s="30">
        <v>14.798999999999999</v>
      </c>
      <c r="H27" s="30">
        <v>70.5</v>
      </c>
      <c r="I27" s="30">
        <v>0</v>
      </c>
      <c r="J27" s="30">
        <v>0</v>
      </c>
      <c r="K27" s="30">
        <v>0</v>
      </c>
      <c r="L27" s="30">
        <v>0.3</v>
      </c>
      <c r="M27" s="30">
        <v>6</v>
      </c>
      <c r="N27" s="30">
        <v>19.5</v>
      </c>
      <c r="O27" s="30">
        <v>4.2</v>
      </c>
      <c r="P27" s="30">
        <v>0.3</v>
      </c>
    </row>
    <row r="28" spans="1:16" ht="20.100000000000001" customHeight="1">
      <c r="A28" s="27">
        <v>1</v>
      </c>
      <c r="B28" s="66" t="s">
        <v>183</v>
      </c>
      <c r="C28" s="37" t="s">
        <v>59</v>
      </c>
      <c r="D28" s="67">
        <v>200</v>
      </c>
      <c r="E28" s="30">
        <f>SUM(E26:E27)</f>
        <v>14.750999999999999</v>
      </c>
      <c r="F28" s="30">
        <v>0.1</v>
      </c>
      <c r="G28" s="30">
        <v>28.02</v>
      </c>
      <c r="H28" s="30">
        <v>109.48</v>
      </c>
      <c r="I28" s="30">
        <v>0.02</v>
      </c>
      <c r="J28" s="30">
        <v>0.9</v>
      </c>
      <c r="K28" s="30">
        <v>0</v>
      </c>
      <c r="L28" s="30">
        <v>0.08</v>
      </c>
      <c r="M28" s="30">
        <v>14.18</v>
      </c>
      <c r="N28" s="30">
        <v>4.4000000000000004</v>
      </c>
      <c r="O28" s="30">
        <v>5.14</v>
      </c>
      <c r="P28" s="30">
        <v>0.96</v>
      </c>
    </row>
    <row r="29" spans="1:16" ht="20.100000000000001" customHeight="1">
      <c r="A29" s="27">
        <v>1</v>
      </c>
      <c r="B29" s="119"/>
      <c r="C29" s="119" t="s">
        <v>18</v>
      </c>
      <c r="D29" s="120"/>
      <c r="E29" s="119">
        <f>SUM(E26:E28)</f>
        <v>29.501999999999999</v>
      </c>
      <c r="F29" s="119">
        <f t="shared" ref="F29:P29" si="3">SUM(F26:F28)</f>
        <v>15.750999999999999</v>
      </c>
      <c r="G29" s="119">
        <f t="shared" si="3"/>
        <v>47.619</v>
      </c>
      <c r="H29" s="119">
        <f t="shared" si="3"/>
        <v>343.93</v>
      </c>
      <c r="I29" s="119">
        <f t="shared" si="3"/>
        <v>0.13999999999999999</v>
      </c>
      <c r="J29" s="119">
        <f t="shared" si="3"/>
        <v>1.5</v>
      </c>
      <c r="K29" s="119">
        <f t="shared" si="3"/>
        <v>0.39</v>
      </c>
      <c r="L29" s="119">
        <f t="shared" si="3"/>
        <v>1.1300000000000001</v>
      </c>
      <c r="M29" s="119">
        <f t="shared" si="3"/>
        <v>236.18</v>
      </c>
      <c r="N29" s="119">
        <f t="shared" si="3"/>
        <v>427.4</v>
      </c>
      <c r="O29" s="119">
        <f t="shared" si="3"/>
        <v>42.34</v>
      </c>
      <c r="P29" s="119">
        <f t="shared" si="3"/>
        <v>5.46</v>
      </c>
    </row>
    <row r="30" spans="1:16" ht="20.100000000000001" customHeight="1">
      <c r="A30" s="27">
        <v>1</v>
      </c>
      <c r="B30" s="66"/>
      <c r="C30" s="66" t="s">
        <v>23</v>
      </c>
      <c r="D30" s="67"/>
      <c r="E30" s="66">
        <f>SUM(E13+E24+E29)</f>
        <v>80.086666666666659</v>
      </c>
      <c r="F30" s="115">
        <f t="shared" ref="F30:P30" si="4">SUM(F13+F24+F29)</f>
        <v>61.487666666666662</v>
      </c>
      <c r="G30" s="115">
        <f t="shared" si="4"/>
        <v>246.47733333333335</v>
      </c>
      <c r="H30" s="115">
        <f t="shared" si="4"/>
        <v>1955.617</v>
      </c>
      <c r="I30" s="115">
        <f t="shared" si="4"/>
        <v>0.501</v>
      </c>
      <c r="J30" s="115">
        <f t="shared" si="4"/>
        <v>30.314</v>
      </c>
      <c r="K30" s="115">
        <f t="shared" si="4"/>
        <v>29.634999999999998</v>
      </c>
      <c r="L30" s="115">
        <f t="shared" si="4"/>
        <v>14.056000000000001</v>
      </c>
      <c r="M30" s="115">
        <f t="shared" si="4"/>
        <v>818.30200000000013</v>
      </c>
      <c r="N30" s="115">
        <f t="shared" si="4"/>
        <v>1362.1639999999998</v>
      </c>
      <c r="O30" s="115">
        <f t="shared" si="4"/>
        <v>437.02</v>
      </c>
      <c r="P30" s="115">
        <f t="shared" si="4"/>
        <v>17.829000000000001</v>
      </c>
    </row>
    <row r="31" spans="1:16" s="36" customFormat="1" ht="15" customHeight="1">
      <c r="B31" s="41"/>
      <c r="C31" s="41"/>
      <c r="D31" s="46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s="36" customFormat="1" ht="20.100000000000001" customHeight="1">
      <c r="B32" s="39" t="s">
        <v>117</v>
      </c>
      <c r="C32" s="38"/>
      <c r="D32" s="46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s="36" customFormat="1" ht="20.100000000000001" customHeight="1">
      <c r="B33" s="39" t="s">
        <v>114</v>
      </c>
      <c r="C33" s="38"/>
      <c r="D33" s="46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s="36" customFormat="1" ht="20.100000000000001" customHeight="1">
      <c r="B34" s="39" t="s">
        <v>115</v>
      </c>
      <c r="C34" s="38"/>
      <c r="D34" s="46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s="36" customFormat="1" ht="11.25" customHeight="1">
      <c r="B35" s="41"/>
      <c r="C35" s="41"/>
      <c r="D35" s="46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s="36" customFormat="1" ht="41.25" customHeight="1">
      <c r="B36" s="137" t="s">
        <v>0</v>
      </c>
      <c r="C36" s="137" t="s">
        <v>1</v>
      </c>
      <c r="D36" s="138" t="s">
        <v>2</v>
      </c>
      <c r="E36" s="136" t="s">
        <v>3</v>
      </c>
      <c r="F36" s="136"/>
      <c r="G36" s="136"/>
      <c r="H36" s="136" t="s">
        <v>4</v>
      </c>
      <c r="I36" s="136" t="s">
        <v>5</v>
      </c>
      <c r="J36" s="136"/>
      <c r="K36" s="136"/>
      <c r="L36" s="136"/>
      <c r="M36" s="136" t="s">
        <v>6</v>
      </c>
      <c r="N36" s="136"/>
      <c r="O36" s="136"/>
      <c r="P36" s="136"/>
    </row>
    <row r="37" spans="1:16" s="36" customFormat="1" ht="41.25" customHeight="1">
      <c r="B37" s="137"/>
      <c r="C37" s="137"/>
      <c r="D37" s="138"/>
      <c r="E37" s="66" t="s">
        <v>7</v>
      </c>
      <c r="F37" s="66" t="s">
        <v>8</v>
      </c>
      <c r="G37" s="66" t="s">
        <v>9</v>
      </c>
      <c r="H37" s="136"/>
      <c r="I37" s="66" t="s">
        <v>116</v>
      </c>
      <c r="J37" s="66" t="s">
        <v>10</v>
      </c>
      <c r="K37" s="66" t="s">
        <v>11</v>
      </c>
      <c r="L37" s="66" t="s">
        <v>12</v>
      </c>
      <c r="M37" s="66" t="s">
        <v>13</v>
      </c>
      <c r="N37" s="66" t="s">
        <v>14</v>
      </c>
      <c r="O37" s="66" t="s">
        <v>15</v>
      </c>
      <c r="P37" s="66" t="s">
        <v>16</v>
      </c>
    </row>
    <row r="38" spans="1:16" ht="20.100000000000001" customHeight="1">
      <c r="A38" s="27">
        <v>2</v>
      </c>
      <c r="B38" s="136" t="s">
        <v>17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1:16" ht="39" customHeight="1">
      <c r="A39" s="27">
        <v>2</v>
      </c>
      <c r="B39" s="117" t="s">
        <v>212</v>
      </c>
      <c r="C39" s="71" t="s">
        <v>231</v>
      </c>
      <c r="D39" s="118" t="s">
        <v>305</v>
      </c>
      <c r="E39" s="69">
        <v>6</v>
      </c>
      <c r="F39" s="69">
        <v>6.3</v>
      </c>
      <c r="G39" s="69">
        <v>21.45</v>
      </c>
      <c r="H39" s="69">
        <v>157.94999999999999</v>
      </c>
      <c r="I39" s="69">
        <v>0.13500000000000001</v>
      </c>
      <c r="J39" s="69">
        <v>0.69</v>
      </c>
      <c r="K39" s="69">
        <v>0.03</v>
      </c>
      <c r="L39" s="69">
        <v>0.45</v>
      </c>
      <c r="M39" s="69">
        <v>106.8</v>
      </c>
      <c r="N39" s="69">
        <v>167.85</v>
      </c>
      <c r="O39" s="69">
        <v>50.55</v>
      </c>
      <c r="P39" s="69">
        <v>1.2</v>
      </c>
    </row>
    <row r="40" spans="1:16" ht="24.6" customHeight="1">
      <c r="B40" s="117" t="s">
        <v>197</v>
      </c>
      <c r="C40" s="71" t="s">
        <v>214</v>
      </c>
      <c r="D40" s="118">
        <v>200</v>
      </c>
      <c r="E40" s="69">
        <v>7</v>
      </c>
      <c r="F40" s="69">
        <v>16.600000000000001</v>
      </c>
      <c r="G40" s="69">
        <v>98</v>
      </c>
      <c r="H40" s="69">
        <v>460</v>
      </c>
      <c r="I40" s="69">
        <v>0.26</v>
      </c>
      <c r="J40" s="69">
        <v>0</v>
      </c>
      <c r="K40" s="69">
        <v>0</v>
      </c>
      <c r="L40" s="69">
        <v>3.4</v>
      </c>
      <c r="M40" s="69">
        <v>14</v>
      </c>
      <c r="N40" s="69">
        <v>126</v>
      </c>
      <c r="O40" s="69">
        <v>50</v>
      </c>
      <c r="P40" s="69">
        <v>2.8</v>
      </c>
    </row>
    <row r="41" spans="1:16" s="68" customFormat="1" ht="19.5" customHeight="1">
      <c r="B41" s="61"/>
      <c r="C41" s="71" t="s">
        <v>171</v>
      </c>
      <c r="D41" s="88"/>
      <c r="E41" s="30">
        <f>SUM(E39:E40)/2</f>
        <v>6.5</v>
      </c>
      <c r="F41" s="30">
        <f t="shared" ref="F41:P41" si="5">SUM(F39:F40)/2</f>
        <v>11.450000000000001</v>
      </c>
      <c r="G41" s="30">
        <f t="shared" si="5"/>
        <v>59.725000000000001</v>
      </c>
      <c r="H41" s="30">
        <f t="shared" si="5"/>
        <v>308.97500000000002</v>
      </c>
      <c r="I41" s="30">
        <f t="shared" si="5"/>
        <v>0.19750000000000001</v>
      </c>
      <c r="J41" s="30">
        <f t="shared" si="5"/>
        <v>0.34499999999999997</v>
      </c>
      <c r="K41" s="30">
        <f t="shared" si="5"/>
        <v>1.4999999999999999E-2</v>
      </c>
      <c r="L41" s="30">
        <f t="shared" si="5"/>
        <v>1.925</v>
      </c>
      <c r="M41" s="30">
        <f t="shared" si="5"/>
        <v>60.4</v>
      </c>
      <c r="N41" s="30">
        <f t="shared" si="5"/>
        <v>146.92500000000001</v>
      </c>
      <c r="O41" s="30">
        <f t="shared" si="5"/>
        <v>50.274999999999999</v>
      </c>
      <c r="P41" s="30">
        <f t="shared" si="5"/>
        <v>2</v>
      </c>
    </row>
    <row r="42" spans="1:16" ht="22.5" customHeight="1">
      <c r="A42" s="27">
        <v>2</v>
      </c>
      <c r="B42" s="61"/>
      <c r="C42" s="71" t="s">
        <v>287</v>
      </c>
      <c r="D42" s="116">
        <v>100</v>
      </c>
      <c r="E42" s="69">
        <v>5.6</v>
      </c>
      <c r="F42" s="69">
        <v>5</v>
      </c>
      <c r="G42" s="69">
        <v>18.8</v>
      </c>
      <c r="H42" s="69">
        <v>140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</row>
    <row r="43" spans="1:16" s="68" customFormat="1" ht="19.5" customHeight="1">
      <c r="B43" s="61"/>
      <c r="C43" s="71" t="s">
        <v>245</v>
      </c>
      <c r="D43" s="116">
        <v>25</v>
      </c>
      <c r="E43" s="69">
        <v>2.875</v>
      </c>
      <c r="F43" s="69">
        <v>0.72499999999999998</v>
      </c>
      <c r="G43" s="69">
        <v>0.23</v>
      </c>
      <c r="H43" s="69">
        <v>15.9375</v>
      </c>
      <c r="I43" s="69">
        <v>0.03</v>
      </c>
      <c r="J43" s="69">
        <v>0.8</v>
      </c>
      <c r="K43" s="69">
        <v>0.05</v>
      </c>
      <c r="L43" s="69">
        <v>0.3175</v>
      </c>
      <c r="M43" s="69">
        <v>24.75</v>
      </c>
      <c r="N43" s="69">
        <v>37.842500000000001</v>
      </c>
      <c r="O43" s="69">
        <v>11.112500000000001</v>
      </c>
      <c r="P43" s="69">
        <v>0.26750000000000002</v>
      </c>
    </row>
    <row r="44" spans="1:16" s="68" customFormat="1" ht="18" customHeight="1">
      <c r="B44" s="61"/>
      <c r="C44" s="71" t="s">
        <v>171</v>
      </c>
      <c r="D44" s="116"/>
      <c r="E44" s="30">
        <f>SUM(E42:E43)/2</f>
        <v>4.2374999999999998</v>
      </c>
      <c r="F44" s="30">
        <f t="shared" ref="F44" si="6">SUM(F42:F43)/2</f>
        <v>2.8624999999999998</v>
      </c>
      <c r="G44" s="30">
        <f t="shared" ref="G44" si="7">SUM(G42:G43)/2</f>
        <v>9.5150000000000006</v>
      </c>
      <c r="H44" s="30">
        <f t="shared" ref="H44" si="8">SUM(H42:H43)/2</f>
        <v>77.96875</v>
      </c>
      <c r="I44" s="30">
        <f t="shared" ref="I44" si="9">SUM(I42:I43)/2</f>
        <v>1.4999999999999999E-2</v>
      </c>
      <c r="J44" s="30">
        <f t="shared" ref="J44" si="10">SUM(J42:J43)/2</f>
        <v>0.4</v>
      </c>
      <c r="K44" s="30">
        <f t="shared" ref="K44" si="11">SUM(K42:K43)/2</f>
        <v>2.5000000000000001E-2</v>
      </c>
      <c r="L44" s="30">
        <f t="shared" ref="L44" si="12">SUM(L42:L43)/2</f>
        <v>0.15875</v>
      </c>
      <c r="M44" s="30">
        <f t="shared" ref="M44" si="13">SUM(M42:M43)/2</f>
        <v>12.375</v>
      </c>
      <c r="N44" s="30">
        <f t="shared" ref="N44" si="14">SUM(N42:N43)/2</f>
        <v>18.921250000000001</v>
      </c>
      <c r="O44" s="30">
        <f t="shared" ref="O44" si="15">SUM(O42:O43)/2</f>
        <v>5.5562500000000004</v>
      </c>
      <c r="P44" s="30">
        <f t="shared" ref="P44" si="16">SUM(P42:P43)/2</f>
        <v>0.13375000000000001</v>
      </c>
    </row>
    <row r="45" spans="1:16" s="68" customFormat="1" ht="18" customHeight="1">
      <c r="B45" s="61" t="s">
        <v>228</v>
      </c>
      <c r="C45" s="71" t="s">
        <v>229</v>
      </c>
      <c r="D45" s="116">
        <v>20</v>
      </c>
      <c r="E45" s="69">
        <v>4.6399999999999997</v>
      </c>
      <c r="F45" s="69">
        <v>5.9</v>
      </c>
      <c r="G45" s="69">
        <v>0</v>
      </c>
      <c r="H45" s="69">
        <v>71.66</v>
      </c>
      <c r="I45" s="69">
        <v>0</v>
      </c>
      <c r="J45" s="69">
        <v>0.14000000000000001</v>
      </c>
      <c r="K45" s="69">
        <v>5.2000000000000005E-2</v>
      </c>
      <c r="L45" s="69">
        <v>0.1</v>
      </c>
      <c r="M45" s="69">
        <v>176</v>
      </c>
      <c r="N45" s="69">
        <v>100</v>
      </c>
      <c r="O45" s="69">
        <v>7</v>
      </c>
      <c r="P45" s="69">
        <v>0.2</v>
      </c>
    </row>
    <row r="46" spans="1:16" s="68" customFormat="1" ht="18" customHeight="1">
      <c r="B46" s="117" t="s">
        <v>188</v>
      </c>
      <c r="C46" s="71" t="s">
        <v>24</v>
      </c>
      <c r="D46" s="118">
        <v>30</v>
      </c>
      <c r="E46" s="69">
        <v>1.6</v>
      </c>
      <c r="F46" s="69">
        <v>0.05</v>
      </c>
      <c r="G46" s="69">
        <v>10.6</v>
      </c>
      <c r="H46" s="69">
        <v>54</v>
      </c>
      <c r="I46" s="69">
        <v>0.04</v>
      </c>
      <c r="J46" s="69">
        <v>0.8</v>
      </c>
      <c r="K46" s="69">
        <v>0</v>
      </c>
      <c r="L46" s="69">
        <v>0</v>
      </c>
      <c r="M46" s="69">
        <v>7.6</v>
      </c>
      <c r="N46" s="69">
        <v>26</v>
      </c>
      <c r="O46" s="69">
        <v>5.2</v>
      </c>
      <c r="P46" s="69">
        <v>0.5</v>
      </c>
    </row>
    <row r="47" spans="1:16" s="68" customFormat="1" ht="18" customHeight="1">
      <c r="B47" s="61" t="s">
        <v>275</v>
      </c>
      <c r="C47" s="71" t="s">
        <v>26</v>
      </c>
      <c r="D47" s="116" t="s">
        <v>132</v>
      </c>
      <c r="E47" s="69">
        <v>0.08</v>
      </c>
      <c r="F47" s="69">
        <v>0.02</v>
      </c>
      <c r="G47" s="69">
        <v>15</v>
      </c>
      <c r="H47" s="69">
        <v>60.5</v>
      </c>
      <c r="I47" s="69">
        <v>0</v>
      </c>
      <c r="J47" s="69">
        <v>0.04</v>
      </c>
      <c r="K47" s="69">
        <v>0</v>
      </c>
      <c r="L47" s="69">
        <v>0</v>
      </c>
      <c r="M47" s="69">
        <v>11.1</v>
      </c>
      <c r="N47" s="69">
        <v>2.8</v>
      </c>
      <c r="O47" s="69">
        <v>1.4</v>
      </c>
      <c r="P47" s="69">
        <v>0.28000000000000003</v>
      </c>
    </row>
    <row r="48" spans="1:16" ht="20.100000000000001" customHeight="1">
      <c r="A48" s="27">
        <v>2</v>
      </c>
      <c r="B48" s="61" t="s">
        <v>172</v>
      </c>
      <c r="C48" s="37" t="s">
        <v>160</v>
      </c>
      <c r="D48" s="67" t="s">
        <v>131</v>
      </c>
      <c r="E48" s="30">
        <v>0.14000000000000001</v>
      </c>
      <c r="F48" s="30">
        <v>0.02</v>
      </c>
      <c r="G48" s="30">
        <v>15.2</v>
      </c>
      <c r="H48" s="30">
        <v>61.54</v>
      </c>
      <c r="I48" s="30">
        <v>0</v>
      </c>
      <c r="J48" s="30">
        <v>2.84</v>
      </c>
      <c r="K48" s="30">
        <v>0</v>
      </c>
      <c r="L48" s="30">
        <v>0.02</v>
      </c>
      <c r="M48" s="30">
        <v>14.2</v>
      </c>
      <c r="N48" s="30">
        <v>4.4000000000000004</v>
      </c>
      <c r="O48" s="30">
        <v>2.4</v>
      </c>
      <c r="P48" s="30">
        <v>0.36</v>
      </c>
    </row>
    <row r="49" spans="1:16" s="68" customFormat="1" ht="20.100000000000001" customHeight="1">
      <c r="B49" s="61"/>
      <c r="C49" s="71" t="s">
        <v>171</v>
      </c>
      <c r="D49" s="116"/>
      <c r="E49" s="30">
        <f>SUM(E47:E48)/2</f>
        <v>0.11000000000000001</v>
      </c>
      <c r="F49" s="30">
        <f t="shared" ref="F49" si="17">SUM(F47:F48)/2</f>
        <v>0.02</v>
      </c>
      <c r="G49" s="30">
        <f t="shared" ref="G49" si="18">SUM(G47:G48)/2</f>
        <v>15.1</v>
      </c>
      <c r="H49" s="30">
        <f t="shared" ref="H49" si="19">SUM(H47:H48)/2</f>
        <v>61.019999999999996</v>
      </c>
      <c r="I49" s="30">
        <f t="shared" ref="I49" si="20">SUM(I47:I48)/2</f>
        <v>0</v>
      </c>
      <c r="J49" s="30">
        <f t="shared" ref="J49" si="21">SUM(J47:J48)/2</f>
        <v>1.44</v>
      </c>
      <c r="K49" s="30">
        <f t="shared" ref="K49" si="22">SUM(K47:K48)/2</f>
        <v>0</v>
      </c>
      <c r="L49" s="30">
        <f t="shared" ref="L49" si="23">SUM(L47:L48)/2</f>
        <v>0.01</v>
      </c>
      <c r="M49" s="30">
        <f t="shared" ref="M49" si="24">SUM(M47:M48)/2</f>
        <v>12.649999999999999</v>
      </c>
      <c r="N49" s="30">
        <f t="shared" ref="N49" si="25">SUM(N47:N48)/2</f>
        <v>3.6</v>
      </c>
      <c r="O49" s="30">
        <f t="shared" ref="O49" si="26">SUM(O47:O48)/2</f>
        <v>1.9</v>
      </c>
      <c r="P49" s="30">
        <f t="shared" ref="P49" si="27">SUM(P47:P48)/2</f>
        <v>0.32</v>
      </c>
    </row>
    <row r="50" spans="1:16" ht="20.100000000000001" customHeight="1">
      <c r="A50" s="27">
        <v>2</v>
      </c>
      <c r="B50" s="119"/>
      <c r="C50" s="119" t="s">
        <v>18</v>
      </c>
      <c r="D50" s="120"/>
      <c r="E50" s="119">
        <f>SUM(E41+E44+E45+E46+E49)</f>
        <v>17.087500000000002</v>
      </c>
      <c r="F50" s="119">
        <f t="shared" ref="F50:P50" si="28">SUM(F41+F44+F45+F46+F49)</f>
        <v>20.282499999999999</v>
      </c>
      <c r="G50" s="119">
        <f t="shared" si="28"/>
        <v>94.94</v>
      </c>
      <c r="H50" s="119">
        <f t="shared" si="28"/>
        <v>573.62374999999997</v>
      </c>
      <c r="I50" s="119">
        <f t="shared" si="28"/>
        <v>0.2525</v>
      </c>
      <c r="J50" s="119">
        <f t="shared" si="28"/>
        <v>3.125</v>
      </c>
      <c r="K50" s="119">
        <f t="shared" si="28"/>
        <v>9.1999999999999998E-2</v>
      </c>
      <c r="L50" s="119">
        <f t="shared" si="28"/>
        <v>2.1937500000000001</v>
      </c>
      <c r="M50" s="119">
        <f t="shared" si="28"/>
        <v>269.02499999999998</v>
      </c>
      <c r="N50" s="119">
        <f t="shared" si="28"/>
        <v>295.44625000000002</v>
      </c>
      <c r="O50" s="119">
        <f t="shared" si="28"/>
        <v>69.931250000000006</v>
      </c>
      <c r="P50" s="119">
        <f t="shared" si="28"/>
        <v>3.1537500000000001</v>
      </c>
    </row>
    <row r="51" spans="1:16" ht="20.100000000000001" customHeight="1">
      <c r="A51" s="27">
        <v>2</v>
      </c>
      <c r="B51" s="136" t="s">
        <v>19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</row>
    <row r="52" spans="1:16" ht="21.75" customHeight="1">
      <c r="A52" s="27">
        <v>2</v>
      </c>
      <c r="B52" s="117" t="s">
        <v>184</v>
      </c>
      <c r="C52" s="71" t="s">
        <v>306</v>
      </c>
      <c r="D52" s="118">
        <v>100</v>
      </c>
      <c r="E52" s="32">
        <v>1.1000000000000001</v>
      </c>
      <c r="F52" s="32">
        <v>0.2</v>
      </c>
      <c r="G52" s="32">
        <v>3.8</v>
      </c>
      <c r="H52" s="32">
        <v>21.4</v>
      </c>
      <c r="I52" s="32">
        <v>0.06</v>
      </c>
      <c r="J52" s="32">
        <v>25</v>
      </c>
      <c r="K52" s="32">
        <v>0</v>
      </c>
      <c r="L52" s="32">
        <v>0.7</v>
      </c>
      <c r="M52" s="32">
        <v>14</v>
      </c>
      <c r="N52" s="32">
        <v>26</v>
      </c>
      <c r="O52" s="32">
        <v>20</v>
      </c>
      <c r="P52" s="32">
        <v>0.9</v>
      </c>
    </row>
    <row r="53" spans="1:16" ht="20.25" customHeight="1">
      <c r="B53" s="117" t="s">
        <v>185</v>
      </c>
      <c r="C53" s="71" t="s">
        <v>307</v>
      </c>
      <c r="D53" s="118">
        <v>100</v>
      </c>
      <c r="E53" s="32">
        <v>1.1000000000000001</v>
      </c>
      <c r="F53" s="32">
        <v>0.1</v>
      </c>
      <c r="G53" s="32">
        <v>3.5</v>
      </c>
      <c r="H53" s="32">
        <v>19.3</v>
      </c>
      <c r="I53" s="32">
        <v>0.01</v>
      </c>
      <c r="J53" s="32">
        <v>15</v>
      </c>
      <c r="K53" s="32">
        <v>0</v>
      </c>
      <c r="L53" s="32">
        <v>0.7</v>
      </c>
      <c r="M53" s="32">
        <v>10</v>
      </c>
      <c r="N53" s="32">
        <v>35</v>
      </c>
      <c r="O53" s="32">
        <v>15</v>
      </c>
      <c r="P53" s="32">
        <v>0.8</v>
      </c>
    </row>
    <row r="54" spans="1:16" ht="19.5" customHeight="1">
      <c r="B54" s="66"/>
      <c r="C54" s="37" t="s">
        <v>171</v>
      </c>
      <c r="D54" s="72"/>
      <c r="E54" s="32">
        <f>SUM(E52:E53)/2</f>
        <v>1.1000000000000001</v>
      </c>
      <c r="F54" s="32">
        <f t="shared" ref="F54:P54" si="29">SUM(F52:F53)/2</f>
        <v>0.15000000000000002</v>
      </c>
      <c r="G54" s="32">
        <f t="shared" si="29"/>
        <v>3.65</v>
      </c>
      <c r="H54" s="32">
        <f t="shared" si="29"/>
        <v>20.350000000000001</v>
      </c>
      <c r="I54" s="32">
        <f t="shared" si="29"/>
        <v>3.4999999999999996E-2</v>
      </c>
      <c r="J54" s="32">
        <f t="shared" si="29"/>
        <v>20</v>
      </c>
      <c r="K54" s="32">
        <f t="shared" si="29"/>
        <v>0</v>
      </c>
      <c r="L54" s="32">
        <f t="shared" si="29"/>
        <v>0.7</v>
      </c>
      <c r="M54" s="32">
        <f t="shared" si="29"/>
        <v>12</v>
      </c>
      <c r="N54" s="32">
        <f t="shared" si="29"/>
        <v>30.5</v>
      </c>
      <c r="O54" s="32">
        <f t="shared" si="29"/>
        <v>17.5</v>
      </c>
      <c r="P54" s="32">
        <f t="shared" si="29"/>
        <v>0.85000000000000009</v>
      </c>
    </row>
    <row r="55" spans="1:16" ht="21" customHeight="1">
      <c r="B55" s="72" t="s">
        <v>308</v>
      </c>
      <c r="C55" s="71" t="s">
        <v>50</v>
      </c>
      <c r="D55" s="118">
        <v>250</v>
      </c>
      <c r="E55" s="30">
        <v>5.5</v>
      </c>
      <c r="F55" s="30">
        <v>5.25</v>
      </c>
      <c r="G55" s="30">
        <v>16.5</v>
      </c>
      <c r="H55" s="30">
        <v>135.25</v>
      </c>
      <c r="I55" s="30">
        <v>0</v>
      </c>
      <c r="J55" s="30">
        <v>0.25</v>
      </c>
      <c r="K55" s="30">
        <v>5.75</v>
      </c>
      <c r="L55" s="30">
        <v>2.5</v>
      </c>
      <c r="M55" s="30">
        <v>42.75</v>
      </c>
      <c r="N55" s="30">
        <v>35.5</v>
      </c>
      <c r="O55" s="30">
        <v>88</v>
      </c>
      <c r="P55" s="30">
        <v>2</v>
      </c>
    </row>
    <row r="56" spans="1:16" ht="20.100000000000001" customHeight="1">
      <c r="B56" s="117" t="s">
        <v>288</v>
      </c>
      <c r="C56" s="71" t="s">
        <v>289</v>
      </c>
      <c r="D56" s="118" t="s">
        <v>309</v>
      </c>
      <c r="E56" s="30">
        <v>19.875</v>
      </c>
      <c r="F56" s="30">
        <v>27.03</v>
      </c>
      <c r="G56" s="30">
        <v>33.39</v>
      </c>
      <c r="H56" s="30">
        <v>456.33</v>
      </c>
      <c r="I56" s="30">
        <v>0</v>
      </c>
      <c r="J56" s="30">
        <v>0.53</v>
      </c>
      <c r="K56" s="30">
        <v>8.48</v>
      </c>
      <c r="L56" s="30">
        <v>10.6</v>
      </c>
      <c r="M56" s="30">
        <v>76.849999999999994</v>
      </c>
      <c r="N56" s="30">
        <v>46.64</v>
      </c>
      <c r="O56" s="30">
        <v>343.44</v>
      </c>
      <c r="P56" s="30">
        <v>4.5049999999999999</v>
      </c>
    </row>
    <row r="57" spans="1:16" ht="20.100000000000001" customHeight="1">
      <c r="A57" s="27">
        <v>2</v>
      </c>
      <c r="B57" s="66" t="s">
        <v>172</v>
      </c>
      <c r="C57" s="37" t="s">
        <v>51</v>
      </c>
      <c r="D57" s="67">
        <v>200</v>
      </c>
      <c r="E57" s="32">
        <v>0.16</v>
      </c>
      <c r="F57" s="32">
        <v>0.16</v>
      </c>
      <c r="G57" s="32">
        <v>19.88</v>
      </c>
      <c r="H57" s="32">
        <v>81.599999999999994</v>
      </c>
      <c r="I57" s="32">
        <v>0.02</v>
      </c>
      <c r="J57" s="32">
        <v>0.9</v>
      </c>
      <c r="K57" s="32">
        <v>0</v>
      </c>
      <c r="L57" s="32">
        <v>0.08</v>
      </c>
      <c r="M57" s="32">
        <v>13.94</v>
      </c>
      <c r="N57" s="32">
        <v>4.4000000000000004</v>
      </c>
      <c r="O57" s="32">
        <v>5.14</v>
      </c>
      <c r="P57" s="32">
        <v>0.93600000000000005</v>
      </c>
    </row>
    <row r="58" spans="1:16" s="68" customFormat="1" ht="20.100000000000001" customHeight="1">
      <c r="B58" s="115"/>
      <c r="C58" s="71" t="s">
        <v>173</v>
      </c>
      <c r="D58" s="116">
        <v>150</v>
      </c>
      <c r="E58" s="30">
        <v>0.6</v>
      </c>
      <c r="F58" s="30">
        <v>0.6</v>
      </c>
      <c r="G58" s="30">
        <v>24.3</v>
      </c>
      <c r="H58" s="30">
        <v>70.5</v>
      </c>
      <c r="I58" s="30">
        <v>0</v>
      </c>
      <c r="J58" s="30">
        <v>0</v>
      </c>
      <c r="K58" s="30">
        <v>15</v>
      </c>
      <c r="L58" s="30">
        <v>0.3</v>
      </c>
      <c r="M58" s="30">
        <v>24</v>
      </c>
      <c r="N58" s="30">
        <v>13.5</v>
      </c>
      <c r="O58" s="30">
        <v>16.5</v>
      </c>
      <c r="P58" s="30">
        <v>3.2999999999999994</v>
      </c>
    </row>
    <row r="59" spans="1:16" ht="20.100000000000001" customHeight="1">
      <c r="A59" s="27">
        <v>2</v>
      </c>
      <c r="B59" s="117" t="s">
        <v>182</v>
      </c>
      <c r="C59" s="71" t="s">
        <v>20</v>
      </c>
      <c r="D59" s="118">
        <v>40</v>
      </c>
      <c r="E59" s="129">
        <v>3.0666666666666664</v>
      </c>
      <c r="F59" s="129">
        <v>0.26666666666666672</v>
      </c>
      <c r="G59" s="129">
        <v>19.733333333333334</v>
      </c>
      <c r="H59" s="129">
        <v>93.6</v>
      </c>
      <c r="I59" s="129">
        <v>0</v>
      </c>
      <c r="J59" s="129">
        <v>0</v>
      </c>
      <c r="K59" s="129">
        <v>0</v>
      </c>
      <c r="L59" s="129">
        <v>0.4</v>
      </c>
      <c r="M59" s="129">
        <v>8</v>
      </c>
      <c r="N59" s="129">
        <v>26</v>
      </c>
      <c r="O59" s="129">
        <v>5.6000000000000014</v>
      </c>
      <c r="P59" s="129">
        <v>0.4</v>
      </c>
    </row>
    <row r="60" spans="1:16" ht="20.100000000000001" customHeight="1">
      <c r="A60" s="27">
        <v>2</v>
      </c>
      <c r="B60" s="117" t="s">
        <v>192</v>
      </c>
      <c r="C60" s="71" t="s">
        <v>21</v>
      </c>
      <c r="D60" s="118">
        <v>50</v>
      </c>
      <c r="E60" s="129">
        <v>3.25</v>
      </c>
      <c r="F60" s="129">
        <v>0.625</v>
      </c>
      <c r="G60" s="129">
        <v>19.75</v>
      </c>
      <c r="H60" s="129">
        <v>97.625</v>
      </c>
      <c r="I60" s="129">
        <v>0.125</v>
      </c>
      <c r="J60" s="129">
        <v>0</v>
      </c>
      <c r="K60" s="129">
        <v>0</v>
      </c>
      <c r="L60" s="129">
        <v>0.75</v>
      </c>
      <c r="M60" s="129">
        <v>14.499999999999998</v>
      </c>
      <c r="N60" s="129">
        <v>75</v>
      </c>
      <c r="O60" s="129">
        <v>23.5</v>
      </c>
      <c r="P60" s="129">
        <v>2</v>
      </c>
    </row>
    <row r="61" spans="1:16" ht="20.100000000000001" customHeight="1">
      <c r="A61" s="27">
        <v>2</v>
      </c>
      <c r="B61" s="119"/>
      <c r="C61" s="119" t="s">
        <v>18</v>
      </c>
      <c r="D61" s="120"/>
      <c r="E61" s="119">
        <f>SUM(E54:E60)</f>
        <v>33.551666666666669</v>
      </c>
      <c r="F61" s="119">
        <f t="shared" ref="F61:P61" si="30">SUM(F54:F60)</f>
        <v>34.081666666666663</v>
      </c>
      <c r="G61" s="119">
        <f t="shared" si="30"/>
        <v>137.20333333333332</v>
      </c>
      <c r="H61" s="119">
        <f t="shared" si="30"/>
        <v>955.255</v>
      </c>
      <c r="I61" s="119">
        <f t="shared" si="30"/>
        <v>0.18</v>
      </c>
      <c r="J61" s="119">
        <f t="shared" si="30"/>
        <v>21.68</v>
      </c>
      <c r="K61" s="119">
        <f t="shared" si="30"/>
        <v>29.23</v>
      </c>
      <c r="L61" s="119">
        <f t="shared" si="30"/>
        <v>15.330000000000002</v>
      </c>
      <c r="M61" s="119">
        <f t="shared" si="30"/>
        <v>192.04</v>
      </c>
      <c r="N61" s="119">
        <f t="shared" si="30"/>
        <v>231.54000000000002</v>
      </c>
      <c r="O61" s="119">
        <f t="shared" si="30"/>
        <v>499.68</v>
      </c>
      <c r="P61" s="119">
        <f t="shared" si="30"/>
        <v>13.991</v>
      </c>
    </row>
    <row r="62" spans="1:16" ht="20.100000000000001" customHeight="1">
      <c r="A62" s="27">
        <v>2</v>
      </c>
      <c r="B62" s="136" t="s">
        <v>22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</row>
    <row r="63" spans="1:16" ht="36.75" customHeight="1">
      <c r="A63" s="27">
        <v>2</v>
      </c>
      <c r="B63" s="74" t="s">
        <v>199</v>
      </c>
      <c r="C63" s="42" t="s">
        <v>244</v>
      </c>
      <c r="D63" s="35">
        <v>100</v>
      </c>
      <c r="E63" s="33">
        <v>12.88</v>
      </c>
      <c r="F63" s="33">
        <v>12.86</v>
      </c>
      <c r="G63" s="33">
        <v>16.38</v>
      </c>
      <c r="H63" s="33">
        <v>236.94</v>
      </c>
      <c r="I63" s="33">
        <v>7.0000000000000007E-2</v>
      </c>
      <c r="J63" s="33">
        <v>3</v>
      </c>
      <c r="K63" s="33">
        <v>82.5</v>
      </c>
      <c r="L63" s="33">
        <v>0.81</v>
      </c>
      <c r="M63" s="33">
        <v>236.94</v>
      </c>
      <c r="N63" s="33">
        <v>192.1</v>
      </c>
      <c r="O63" s="33">
        <v>21.05</v>
      </c>
      <c r="P63" s="33">
        <v>1.2</v>
      </c>
    </row>
    <row r="64" spans="1:16" ht="39" hidden="1" customHeight="1">
      <c r="B64" s="74"/>
      <c r="C64" s="42" t="e">
        <v>#REF!</v>
      </c>
      <c r="D64" s="35">
        <v>150</v>
      </c>
      <c r="E64" s="33" t="e">
        <v>#REF!</v>
      </c>
      <c r="F64" s="34" t="e">
        <v>#REF!</v>
      </c>
      <c r="G64" s="34" t="e">
        <v>#REF!</v>
      </c>
      <c r="H64" s="34" t="e">
        <v>#REF!</v>
      </c>
      <c r="I64" s="34" t="e">
        <v>#REF!</v>
      </c>
      <c r="J64" s="34" t="e">
        <v>#REF!</v>
      </c>
      <c r="K64" s="34" t="e">
        <v>#REF!</v>
      </c>
      <c r="L64" s="34" t="e">
        <v>#REF!</v>
      </c>
      <c r="M64" s="34" t="e">
        <v>#REF!</v>
      </c>
      <c r="N64" s="34" t="e">
        <v>#REF!</v>
      </c>
      <c r="O64" s="34" t="e">
        <v>#REF!</v>
      </c>
      <c r="P64" s="34" t="e">
        <v>#REF!</v>
      </c>
    </row>
    <row r="65" spans="1:16" ht="19.899999999999999" hidden="1" customHeight="1">
      <c r="A65" s="27">
        <v>2</v>
      </c>
      <c r="B65" s="74"/>
      <c r="C65" s="42" t="e">
        <v>#REF!</v>
      </c>
      <c r="D65" s="35">
        <v>10</v>
      </c>
      <c r="E65" s="33" t="e">
        <v>#REF!</v>
      </c>
      <c r="F65" s="34">
        <v>0.06</v>
      </c>
      <c r="G65" s="34">
        <v>30.2</v>
      </c>
      <c r="H65" s="34">
        <v>123.66</v>
      </c>
      <c r="I65" s="34">
        <v>0</v>
      </c>
      <c r="J65" s="34">
        <v>1.1000000000000001</v>
      </c>
      <c r="K65" s="34">
        <v>0</v>
      </c>
      <c r="L65" s="34">
        <v>0.18</v>
      </c>
      <c r="M65" s="34">
        <v>15.7</v>
      </c>
      <c r="N65" s="34">
        <v>16.32</v>
      </c>
      <c r="O65" s="34">
        <v>3.36</v>
      </c>
      <c r="P65" s="34">
        <v>0.38</v>
      </c>
    </row>
    <row r="66" spans="1:16" ht="20.100000000000001" customHeight="1">
      <c r="B66" s="74" t="s">
        <v>212</v>
      </c>
      <c r="C66" s="42" t="s">
        <v>54</v>
      </c>
      <c r="D66" s="35">
        <v>200</v>
      </c>
      <c r="E66" s="33">
        <v>0.57999999999999996</v>
      </c>
      <c r="F66" s="33">
        <v>0.06</v>
      </c>
      <c r="G66" s="33">
        <v>30.2</v>
      </c>
      <c r="H66" s="33">
        <v>123.66</v>
      </c>
      <c r="I66" s="33">
        <v>0</v>
      </c>
      <c r="J66" s="33">
        <v>1.1000000000000001</v>
      </c>
      <c r="K66" s="33">
        <v>0</v>
      </c>
      <c r="L66" s="33">
        <v>0.18</v>
      </c>
      <c r="M66" s="33">
        <v>15.7</v>
      </c>
      <c r="N66" s="33">
        <v>16.32</v>
      </c>
      <c r="O66" s="33">
        <v>3.36</v>
      </c>
      <c r="P66" s="33">
        <v>0.38</v>
      </c>
    </row>
    <row r="67" spans="1:16" ht="20.100000000000001" customHeight="1">
      <c r="A67" s="27">
        <v>2</v>
      </c>
      <c r="B67" s="121"/>
      <c r="C67" s="119" t="s">
        <v>18</v>
      </c>
      <c r="D67" s="122"/>
      <c r="E67" s="119">
        <f>SUM(E63+E66)</f>
        <v>13.46</v>
      </c>
      <c r="F67" s="119">
        <f t="shared" ref="F67:P67" si="31">SUM(F63+F66)</f>
        <v>12.92</v>
      </c>
      <c r="G67" s="119">
        <f t="shared" si="31"/>
        <v>46.58</v>
      </c>
      <c r="H67" s="119">
        <f t="shared" si="31"/>
        <v>360.6</v>
      </c>
      <c r="I67" s="119">
        <f t="shared" si="31"/>
        <v>7.0000000000000007E-2</v>
      </c>
      <c r="J67" s="119">
        <f t="shared" si="31"/>
        <v>4.0999999999999996</v>
      </c>
      <c r="K67" s="119">
        <f t="shared" si="31"/>
        <v>82.5</v>
      </c>
      <c r="L67" s="119">
        <f t="shared" si="31"/>
        <v>0.99</v>
      </c>
      <c r="M67" s="119">
        <f t="shared" si="31"/>
        <v>252.64</v>
      </c>
      <c r="N67" s="119">
        <f t="shared" si="31"/>
        <v>208.42</v>
      </c>
      <c r="O67" s="119">
        <f t="shared" si="31"/>
        <v>24.41</v>
      </c>
      <c r="P67" s="119">
        <f t="shared" si="31"/>
        <v>1.58</v>
      </c>
    </row>
    <row r="68" spans="1:16" ht="20.100000000000001" customHeight="1">
      <c r="A68" s="27">
        <v>2</v>
      </c>
      <c r="B68" s="30"/>
      <c r="C68" s="66" t="s">
        <v>25</v>
      </c>
      <c r="D68" s="67"/>
      <c r="E68" s="66">
        <f>SUM(E50+E61+E67)</f>
        <v>64.099166666666662</v>
      </c>
      <c r="F68" s="115">
        <f t="shared" ref="F68:P68" si="32">SUM(F50+F61+F67)</f>
        <v>67.284166666666664</v>
      </c>
      <c r="G68" s="115">
        <f t="shared" si="32"/>
        <v>278.7233333333333</v>
      </c>
      <c r="H68" s="115">
        <f t="shared" si="32"/>
        <v>1889.4787499999998</v>
      </c>
      <c r="I68" s="115">
        <f t="shared" si="32"/>
        <v>0.50249999999999995</v>
      </c>
      <c r="J68" s="115">
        <f t="shared" si="32"/>
        <v>28.905000000000001</v>
      </c>
      <c r="K68" s="115">
        <f t="shared" si="32"/>
        <v>111.822</v>
      </c>
      <c r="L68" s="115">
        <f t="shared" si="32"/>
        <v>18.513750000000002</v>
      </c>
      <c r="M68" s="115">
        <f t="shared" si="32"/>
        <v>713.70499999999993</v>
      </c>
      <c r="N68" s="115">
        <f t="shared" si="32"/>
        <v>735.40625</v>
      </c>
      <c r="O68" s="115">
        <f t="shared" si="32"/>
        <v>594.02125000000001</v>
      </c>
      <c r="P68" s="115">
        <f t="shared" si="32"/>
        <v>18.72475</v>
      </c>
    </row>
    <row r="69" spans="1:16" s="36" customFormat="1" ht="20.100000000000001" customHeight="1">
      <c r="B69" s="41"/>
      <c r="C69" s="41"/>
      <c r="D69" s="46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s="36" customFormat="1" ht="20.100000000000001" customHeight="1">
      <c r="B70" s="39" t="s">
        <v>118</v>
      </c>
      <c r="C70" s="38"/>
      <c r="D70" s="46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s="36" customFormat="1" ht="20.100000000000001" customHeight="1">
      <c r="B71" s="39" t="s">
        <v>114</v>
      </c>
      <c r="C71" s="38"/>
      <c r="D71" s="46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s="36" customFormat="1" ht="20.100000000000001" customHeight="1">
      <c r="B72" s="39" t="s">
        <v>115</v>
      </c>
      <c r="C72" s="38"/>
      <c r="D72" s="46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s="36" customFormat="1" ht="19.899999999999999" hidden="1" customHeight="1">
      <c r="B73" s="41"/>
      <c r="C73" s="41"/>
      <c r="D73" s="46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s="36" customFormat="1" ht="42.75" customHeight="1">
      <c r="B74" s="137" t="s">
        <v>0</v>
      </c>
      <c r="C74" s="137" t="s">
        <v>1</v>
      </c>
      <c r="D74" s="138" t="s">
        <v>2</v>
      </c>
      <c r="E74" s="136" t="s">
        <v>3</v>
      </c>
      <c r="F74" s="136"/>
      <c r="G74" s="136"/>
      <c r="H74" s="136" t="s">
        <v>4</v>
      </c>
      <c r="I74" s="136" t="s">
        <v>5</v>
      </c>
      <c r="J74" s="136"/>
      <c r="K74" s="136"/>
      <c r="L74" s="136"/>
      <c r="M74" s="136" t="s">
        <v>6</v>
      </c>
      <c r="N74" s="136"/>
      <c r="O74" s="136"/>
      <c r="P74" s="136"/>
    </row>
    <row r="75" spans="1:16" s="36" customFormat="1" ht="29.45" customHeight="1">
      <c r="B75" s="137"/>
      <c r="C75" s="137"/>
      <c r="D75" s="138"/>
      <c r="E75" s="66" t="s">
        <v>7</v>
      </c>
      <c r="F75" s="66" t="s">
        <v>8</v>
      </c>
      <c r="G75" s="66" t="s">
        <v>9</v>
      </c>
      <c r="H75" s="136"/>
      <c r="I75" s="66" t="s">
        <v>116</v>
      </c>
      <c r="J75" s="66" t="s">
        <v>10</v>
      </c>
      <c r="K75" s="66" t="s">
        <v>11</v>
      </c>
      <c r="L75" s="66" t="s">
        <v>12</v>
      </c>
      <c r="M75" s="66" t="s">
        <v>13</v>
      </c>
      <c r="N75" s="66" t="s">
        <v>14</v>
      </c>
      <c r="O75" s="66" t="s">
        <v>15</v>
      </c>
      <c r="P75" s="66" t="s">
        <v>16</v>
      </c>
    </row>
    <row r="76" spans="1:16" ht="15.6" customHeight="1">
      <c r="A76" s="27">
        <v>3</v>
      </c>
      <c r="B76" s="136" t="s">
        <v>17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</row>
    <row r="77" spans="1:16" ht="27.75" customHeight="1">
      <c r="A77" s="27">
        <v>3</v>
      </c>
      <c r="B77" s="61" t="s">
        <v>219</v>
      </c>
      <c r="C77" s="71" t="s">
        <v>220</v>
      </c>
      <c r="D77" s="72">
        <v>100</v>
      </c>
      <c r="E77" s="30">
        <v>12.37</v>
      </c>
      <c r="F77" s="30">
        <v>16.3</v>
      </c>
      <c r="G77" s="30">
        <v>3.04</v>
      </c>
      <c r="H77" s="30">
        <v>218.2</v>
      </c>
      <c r="I77" s="30">
        <v>8.1000000000000003E-2</v>
      </c>
      <c r="J77" s="30">
        <v>0.1</v>
      </c>
      <c r="K77" s="30">
        <v>1.43</v>
      </c>
      <c r="L77" s="30">
        <v>2.74</v>
      </c>
      <c r="M77" s="30">
        <v>47.49</v>
      </c>
      <c r="N77" s="30">
        <v>28.73</v>
      </c>
      <c r="O77" s="30">
        <v>13.07</v>
      </c>
      <c r="P77" s="30">
        <v>1.75</v>
      </c>
    </row>
    <row r="78" spans="1:16" ht="20.45" customHeight="1">
      <c r="A78" s="27">
        <v>3</v>
      </c>
      <c r="B78" s="117" t="s">
        <v>200</v>
      </c>
      <c r="C78" s="71" t="s">
        <v>221</v>
      </c>
      <c r="D78" s="118">
        <v>100</v>
      </c>
      <c r="E78" s="30">
        <v>0.8</v>
      </c>
      <c r="F78" s="30">
        <v>0.1</v>
      </c>
      <c r="G78" s="30">
        <v>2.5</v>
      </c>
      <c r="H78" s="30">
        <v>14.1</v>
      </c>
      <c r="I78" s="30">
        <v>0</v>
      </c>
      <c r="J78" s="30">
        <v>10</v>
      </c>
      <c r="K78" s="30">
        <v>0</v>
      </c>
      <c r="L78" s="30">
        <v>0</v>
      </c>
      <c r="M78" s="30">
        <v>23.3</v>
      </c>
      <c r="N78" s="30">
        <v>41.6</v>
      </c>
      <c r="O78" s="30">
        <v>14</v>
      </c>
      <c r="P78" s="30">
        <v>0.6</v>
      </c>
    </row>
    <row r="79" spans="1:16">
      <c r="B79" s="117" t="s">
        <v>190</v>
      </c>
      <c r="C79" s="71" t="s">
        <v>222</v>
      </c>
      <c r="D79" s="118">
        <v>100</v>
      </c>
      <c r="E79" s="30">
        <v>0.8</v>
      </c>
      <c r="F79" s="30">
        <v>0.1</v>
      </c>
      <c r="G79" s="30">
        <v>1.7</v>
      </c>
      <c r="H79" s="30">
        <v>10.9</v>
      </c>
      <c r="I79" s="30">
        <v>0.02</v>
      </c>
      <c r="J79" s="30">
        <v>5</v>
      </c>
      <c r="K79" s="30">
        <v>0</v>
      </c>
      <c r="L79" s="30">
        <v>0.1</v>
      </c>
      <c r="M79" s="30">
        <v>23</v>
      </c>
      <c r="N79" s="30">
        <v>24</v>
      </c>
      <c r="O79" s="30">
        <v>14</v>
      </c>
      <c r="P79" s="30">
        <v>0.6</v>
      </c>
    </row>
    <row r="80" spans="1:16" ht="21.75" customHeight="1">
      <c r="B80" s="61"/>
      <c r="C80" s="71" t="s">
        <v>171</v>
      </c>
      <c r="D80" s="116"/>
      <c r="E80" s="30">
        <f>SUM(E78:E79)/2</f>
        <v>0.8</v>
      </c>
      <c r="F80" s="30">
        <f t="shared" ref="F80:P80" si="33">SUM(F78:F79)/2</f>
        <v>0.1</v>
      </c>
      <c r="G80" s="30">
        <f t="shared" si="33"/>
        <v>2.1</v>
      </c>
      <c r="H80" s="30">
        <f t="shared" si="33"/>
        <v>12.5</v>
      </c>
      <c r="I80" s="30">
        <f t="shared" si="33"/>
        <v>0.01</v>
      </c>
      <c r="J80" s="30">
        <f t="shared" si="33"/>
        <v>7.5</v>
      </c>
      <c r="K80" s="30">
        <f t="shared" si="33"/>
        <v>0</v>
      </c>
      <c r="L80" s="30">
        <f t="shared" si="33"/>
        <v>0.05</v>
      </c>
      <c r="M80" s="30">
        <f t="shared" si="33"/>
        <v>23.15</v>
      </c>
      <c r="N80" s="30">
        <f t="shared" si="33"/>
        <v>32.799999999999997</v>
      </c>
      <c r="O80" s="30">
        <f t="shared" si="33"/>
        <v>14</v>
      </c>
      <c r="P80" s="30">
        <f t="shared" si="33"/>
        <v>0.6</v>
      </c>
    </row>
    <row r="81" spans="1:16" ht="20.100000000000001" customHeight="1">
      <c r="A81" s="27">
        <v>3</v>
      </c>
      <c r="B81" s="61" t="s">
        <v>182</v>
      </c>
      <c r="C81" s="71" t="s">
        <v>20</v>
      </c>
      <c r="D81" s="116">
        <v>30</v>
      </c>
      <c r="E81" s="30">
        <v>2.2999999999999998</v>
      </c>
      <c r="F81" s="30">
        <v>0.20000000000000004</v>
      </c>
      <c r="G81" s="30">
        <v>14.8</v>
      </c>
      <c r="H81" s="30">
        <v>70.2</v>
      </c>
      <c r="I81" s="30">
        <v>0</v>
      </c>
      <c r="J81" s="30">
        <v>0</v>
      </c>
      <c r="K81" s="30">
        <v>0</v>
      </c>
      <c r="L81" s="30">
        <v>0.3</v>
      </c>
      <c r="M81" s="30">
        <v>6</v>
      </c>
      <c r="N81" s="30">
        <v>19.5</v>
      </c>
      <c r="O81" s="30">
        <v>4.2</v>
      </c>
      <c r="P81" s="30">
        <v>0.3</v>
      </c>
    </row>
    <row r="82" spans="1:16" ht="39" customHeight="1">
      <c r="B82" s="61"/>
      <c r="C82" s="71" t="s">
        <v>223</v>
      </c>
      <c r="D82" s="116">
        <v>65</v>
      </c>
      <c r="E82" s="30">
        <v>2.8</v>
      </c>
      <c r="F82" s="30">
        <v>3.29</v>
      </c>
      <c r="G82" s="30">
        <v>19.46</v>
      </c>
      <c r="H82" s="30">
        <v>118.65</v>
      </c>
      <c r="I82" s="30">
        <v>4.2000000000000003E-2</v>
      </c>
      <c r="J82" s="30">
        <v>0</v>
      </c>
      <c r="K82" s="30">
        <v>7.000000000000001E-3</v>
      </c>
      <c r="L82" s="30">
        <v>1.4</v>
      </c>
      <c r="M82" s="30">
        <v>11.2</v>
      </c>
      <c r="N82" s="30">
        <v>30.8</v>
      </c>
      <c r="O82" s="30">
        <v>4.2</v>
      </c>
      <c r="P82" s="30">
        <v>0.42</v>
      </c>
    </row>
    <row r="83" spans="1:16" s="68" customFormat="1" ht="19.899999999999999" customHeight="1">
      <c r="B83" s="115" t="s">
        <v>164</v>
      </c>
      <c r="C83" s="71" t="s">
        <v>26</v>
      </c>
      <c r="D83" s="116" t="s">
        <v>132</v>
      </c>
      <c r="E83" s="30">
        <v>0.08</v>
      </c>
      <c r="F83" s="30">
        <v>0.02</v>
      </c>
      <c r="G83" s="30">
        <v>15</v>
      </c>
      <c r="H83" s="30">
        <v>60.5</v>
      </c>
      <c r="I83" s="30">
        <v>0</v>
      </c>
      <c r="J83" s="30">
        <v>0</v>
      </c>
      <c r="K83" s="30">
        <v>0.04</v>
      </c>
      <c r="L83" s="30">
        <v>0</v>
      </c>
      <c r="M83" s="30">
        <v>11.1</v>
      </c>
      <c r="N83" s="30">
        <v>1.4</v>
      </c>
      <c r="O83" s="30">
        <v>2.8</v>
      </c>
      <c r="P83" s="30">
        <v>0.28000000000000003</v>
      </c>
    </row>
    <row r="84" spans="1:16" ht="21" customHeight="1">
      <c r="A84" s="27">
        <v>3</v>
      </c>
      <c r="B84" s="123"/>
      <c r="C84" s="119" t="s">
        <v>18</v>
      </c>
      <c r="D84" s="124"/>
      <c r="E84" s="119">
        <f>SUM(E77+E80+E81+E82+E83)</f>
        <v>18.349999999999998</v>
      </c>
      <c r="F84" s="119">
        <f t="shared" ref="F84:P84" si="34">SUM(F77+F80+F81+F82+F83)</f>
        <v>19.91</v>
      </c>
      <c r="G84" s="119">
        <f t="shared" si="34"/>
        <v>54.400000000000006</v>
      </c>
      <c r="H84" s="119">
        <f t="shared" si="34"/>
        <v>480.04999999999995</v>
      </c>
      <c r="I84" s="119">
        <f t="shared" si="34"/>
        <v>0.13300000000000001</v>
      </c>
      <c r="J84" s="119">
        <f t="shared" si="34"/>
        <v>7.6</v>
      </c>
      <c r="K84" s="119">
        <f t="shared" si="34"/>
        <v>1.4769999999999999</v>
      </c>
      <c r="L84" s="119">
        <f t="shared" si="34"/>
        <v>4.49</v>
      </c>
      <c r="M84" s="119">
        <f t="shared" si="34"/>
        <v>98.94</v>
      </c>
      <c r="N84" s="119">
        <f t="shared" si="34"/>
        <v>113.23</v>
      </c>
      <c r="O84" s="119">
        <f t="shared" si="34"/>
        <v>38.269999999999996</v>
      </c>
      <c r="P84" s="119">
        <f t="shared" si="34"/>
        <v>3.3499999999999996</v>
      </c>
    </row>
    <row r="85" spans="1:16" ht="19.5" customHeight="1">
      <c r="A85" s="27">
        <v>3</v>
      </c>
      <c r="B85" s="136" t="s">
        <v>19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</row>
    <row r="86" spans="1:16" ht="18.600000000000001" customHeight="1">
      <c r="A86" s="27">
        <v>3</v>
      </c>
      <c r="B86" s="117" t="s">
        <v>290</v>
      </c>
      <c r="C86" s="71" t="s">
        <v>291</v>
      </c>
      <c r="D86" s="72">
        <v>100</v>
      </c>
      <c r="E86" s="30">
        <v>4.7</v>
      </c>
      <c r="F86" s="30">
        <v>9.5</v>
      </c>
      <c r="G86" s="30">
        <v>7.13</v>
      </c>
      <c r="H86" s="30">
        <v>132.80000000000001</v>
      </c>
      <c r="I86" s="30">
        <v>0.04</v>
      </c>
      <c r="J86" s="30">
        <v>0.02</v>
      </c>
      <c r="K86" s="30">
        <v>8.2100000000000009</v>
      </c>
      <c r="L86" s="30">
        <v>2.36</v>
      </c>
      <c r="M86" s="30">
        <v>161.97</v>
      </c>
      <c r="N86" s="30">
        <v>23.07</v>
      </c>
      <c r="O86" s="30">
        <v>109.93</v>
      </c>
      <c r="P86" s="30">
        <v>1.28</v>
      </c>
    </row>
    <row r="87" spans="1:16" ht="23.25" customHeight="1">
      <c r="B87" s="117" t="s">
        <v>310</v>
      </c>
      <c r="C87" s="71" t="s">
        <v>112</v>
      </c>
      <c r="D87" s="118" t="s">
        <v>311</v>
      </c>
      <c r="E87" s="30">
        <v>5.3365000000000009</v>
      </c>
      <c r="F87" s="30">
        <v>16.692</v>
      </c>
      <c r="G87" s="30">
        <v>29.334499999999998</v>
      </c>
      <c r="H87" s="30">
        <v>288.91200000000003</v>
      </c>
      <c r="I87" s="30">
        <v>1.3000000000000001E-2</v>
      </c>
      <c r="J87" s="30">
        <v>0.13</v>
      </c>
      <c r="K87" s="30">
        <v>53.95</v>
      </c>
      <c r="L87" s="30">
        <v>6.63</v>
      </c>
      <c r="M87" s="30">
        <v>152.75</v>
      </c>
      <c r="N87" s="30">
        <v>83.85</v>
      </c>
      <c r="O87" s="30">
        <v>144.30000000000001</v>
      </c>
      <c r="P87" s="30">
        <v>3.25</v>
      </c>
    </row>
    <row r="88" spans="1:16" ht="39" hidden="1" customHeight="1">
      <c r="B88" s="66"/>
      <c r="C88" s="37" t="s">
        <v>127</v>
      </c>
      <c r="D88" s="67">
        <v>200</v>
      </c>
      <c r="E88" s="30">
        <v>1.4419999999999999</v>
      </c>
      <c r="F88" s="30">
        <v>3.9360000000000004</v>
      </c>
      <c r="G88" s="30">
        <v>8.7460000000000004</v>
      </c>
      <c r="H88" s="30">
        <v>83</v>
      </c>
      <c r="I88" s="30">
        <v>0</v>
      </c>
      <c r="J88" s="30">
        <v>0</v>
      </c>
      <c r="K88" s="30">
        <v>8.6</v>
      </c>
      <c r="L88" s="30">
        <v>2</v>
      </c>
      <c r="M88" s="30">
        <v>39.799999999999997</v>
      </c>
      <c r="N88" s="30">
        <v>21</v>
      </c>
      <c r="O88" s="30">
        <v>43.6</v>
      </c>
      <c r="P88" s="30">
        <v>1</v>
      </c>
    </row>
    <row r="89" spans="1:16" ht="39" hidden="1" customHeight="1">
      <c r="B89" s="66"/>
      <c r="C89" s="37" t="s">
        <v>57</v>
      </c>
      <c r="D89" s="67">
        <v>10</v>
      </c>
      <c r="E89" s="30">
        <v>2.5000000000000001E-2</v>
      </c>
      <c r="F89" s="30">
        <v>0.15</v>
      </c>
      <c r="G89" s="30">
        <v>3.5000000000000003E-2</v>
      </c>
      <c r="H89" s="30">
        <v>1.6</v>
      </c>
      <c r="I89" s="30">
        <v>5.0000000000000001E-4</v>
      </c>
      <c r="J89" s="30">
        <v>5.0000000000000001E-3</v>
      </c>
      <c r="K89" s="30">
        <v>1</v>
      </c>
      <c r="L89" s="30">
        <v>5.0000000000000001E-3</v>
      </c>
      <c r="M89" s="30">
        <v>0.9</v>
      </c>
      <c r="N89" s="30">
        <v>0.6</v>
      </c>
      <c r="O89" s="30">
        <v>0.1</v>
      </c>
      <c r="P89" s="30">
        <v>0</v>
      </c>
    </row>
    <row r="90" spans="1:16" ht="20.45" customHeight="1">
      <c r="B90" s="117" t="s">
        <v>191</v>
      </c>
      <c r="C90" s="71" t="s">
        <v>163</v>
      </c>
      <c r="D90" s="118" t="s">
        <v>312</v>
      </c>
      <c r="E90" s="30">
        <v>13.26</v>
      </c>
      <c r="F90" s="30">
        <v>8.06</v>
      </c>
      <c r="G90" s="30">
        <v>2.99</v>
      </c>
      <c r="H90" s="30">
        <v>137.54</v>
      </c>
      <c r="I90" s="30">
        <v>0</v>
      </c>
      <c r="J90" s="30">
        <v>0.13</v>
      </c>
      <c r="K90" s="30">
        <v>1.43</v>
      </c>
      <c r="L90" s="30">
        <v>2.4700000000000002</v>
      </c>
      <c r="M90" s="30">
        <v>62.4</v>
      </c>
      <c r="N90" s="30">
        <v>74.23</v>
      </c>
      <c r="O90" s="30">
        <v>292.37</v>
      </c>
      <c r="P90" s="30">
        <v>1.3</v>
      </c>
    </row>
    <row r="91" spans="1:16" ht="18" customHeight="1">
      <c r="B91" s="117" t="s">
        <v>169</v>
      </c>
      <c r="C91" s="71" t="s">
        <v>215</v>
      </c>
      <c r="D91" s="118">
        <v>180</v>
      </c>
      <c r="E91" s="30">
        <v>3.6719999999999997</v>
      </c>
      <c r="F91" s="30">
        <v>5.76</v>
      </c>
      <c r="G91" s="30">
        <v>19.079999999999998</v>
      </c>
      <c r="H91" s="30">
        <v>142.84799999999998</v>
      </c>
      <c r="I91" s="30">
        <v>0.16200000000000001</v>
      </c>
      <c r="J91" s="30">
        <v>21.797999999999998</v>
      </c>
      <c r="K91" s="30">
        <v>3.6000000000000004E-2</v>
      </c>
      <c r="L91" s="30">
        <v>0.21599999999999997</v>
      </c>
      <c r="M91" s="30">
        <v>44.37</v>
      </c>
      <c r="N91" s="30">
        <v>103.914</v>
      </c>
      <c r="O91" s="30">
        <v>33.299999999999997</v>
      </c>
      <c r="P91" s="30">
        <v>1.2060000000000002</v>
      </c>
    </row>
    <row r="92" spans="1:16" s="68" customFormat="1" ht="18.75" customHeight="1">
      <c r="B92" s="117" t="s">
        <v>216</v>
      </c>
      <c r="C92" s="71" t="s">
        <v>217</v>
      </c>
      <c r="D92" s="118">
        <v>180</v>
      </c>
      <c r="E92" s="30">
        <v>3.222</v>
      </c>
      <c r="F92" s="30">
        <v>18.594000000000001</v>
      </c>
      <c r="G92" s="30">
        <v>24.408000000000001</v>
      </c>
      <c r="H92" s="30">
        <v>222.3</v>
      </c>
      <c r="I92" s="30">
        <v>0.18</v>
      </c>
      <c r="J92" s="30">
        <v>41.85</v>
      </c>
      <c r="K92" s="30">
        <v>0</v>
      </c>
      <c r="L92" s="30">
        <v>8.0640000000000001</v>
      </c>
      <c r="M92" s="30">
        <v>43.92</v>
      </c>
      <c r="N92" s="30">
        <v>94.716000000000008</v>
      </c>
      <c r="O92" s="30">
        <v>41.238</v>
      </c>
      <c r="P92" s="30">
        <v>1.548</v>
      </c>
    </row>
    <row r="93" spans="1:16" s="68" customFormat="1" ht="19.5" customHeight="1">
      <c r="B93" s="89"/>
      <c r="C93" s="71" t="s">
        <v>171</v>
      </c>
      <c r="D93" s="90"/>
      <c r="E93" s="30">
        <f>SUM(E91:E92)/2</f>
        <v>3.4470000000000001</v>
      </c>
      <c r="F93" s="30">
        <f t="shared" ref="F93:P93" si="35">SUM(F91:F92)/2</f>
        <v>12.177</v>
      </c>
      <c r="G93" s="30">
        <f t="shared" si="35"/>
        <v>21.744</v>
      </c>
      <c r="H93" s="30">
        <f t="shared" si="35"/>
        <v>182.57400000000001</v>
      </c>
      <c r="I93" s="30">
        <f t="shared" si="35"/>
        <v>0.17099999999999999</v>
      </c>
      <c r="J93" s="30">
        <f t="shared" si="35"/>
        <v>31.823999999999998</v>
      </c>
      <c r="K93" s="30">
        <f t="shared" si="35"/>
        <v>1.8000000000000002E-2</v>
      </c>
      <c r="L93" s="30">
        <f t="shared" si="35"/>
        <v>4.1399999999999997</v>
      </c>
      <c r="M93" s="30">
        <f t="shared" si="35"/>
        <v>44.144999999999996</v>
      </c>
      <c r="N93" s="30">
        <f t="shared" si="35"/>
        <v>99.314999999999998</v>
      </c>
      <c r="O93" s="30">
        <f t="shared" si="35"/>
        <v>37.268999999999998</v>
      </c>
      <c r="P93" s="30">
        <f t="shared" si="35"/>
        <v>1.3770000000000002</v>
      </c>
    </row>
    <row r="94" spans="1:16" ht="17.45" customHeight="1">
      <c r="A94" s="27">
        <v>3</v>
      </c>
      <c r="B94" s="66" t="s">
        <v>178</v>
      </c>
      <c r="C94" s="37" t="s">
        <v>59</v>
      </c>
      <c r="D94" s="67">
        <v>200</v>
      </c>
      <c r="E94" s="30">
        <v>0.66</v>
      </c>
      <c r="F94" s="30">
        <v>0.1</v>
      </c>
      <c r="G94" s="30">
        <v>28.02</v>
      </c>
      <c r="H94" s="30">
        <v>109.48</v>
      </c>
      <c r="I94" s="30">
        <v>0</v>
      </c>
      <c r="J94" s="30">
        <v>0.02</v>
      </c>
      <c r="K94" s="30">
        <v>0.68</v>
      </c>
      <c r="L94" s="30">
        <v>0.5</v>
      </c>
      <c r="M94" s="30">
        <v>32.479999999999997</v>
      </c>
      <c r="N94" s="30">
        <v>17.46</v>
      </c>
      <c r="O94" s="30">
        <v>23.44</v>
      </c>
      <c r="P94" s="30">
        <v>0.7</v>
      </c>
    </row>
    <row r="95" spans="1:16" ht="21.75" customHeight="1">
      <c r="B95" s="66"/>
      <c r="C95" s="37" t="s">
        <v>173</v>
      </c>
      <c r="D95" s="67">
        <v>150</v>
      </c>
      <c r="E95" s="30">
        <v>0.6</v>
      </c>
      <c r="F95" s="30">
        <v>0.6</v>
      </c>
      <c r="G95" s="30">
        <v>24.7</v>
      </c>
      <c r="H95" s="30">
        <v>70.5</v>
      </c>
      <c r="I95" s="30">
        <v>0</v>
      </c>
      <c r="J95" s="30">
        <v>0</v>
      </c>
      <c r="K95" s="30">
        <v>15</v>
      </c>
      <c r="L95" s="30">
        <v>0.3</v>
      </c>
      <c r="M95" s="30">
        <v>24</v>
      </c>
      <c r="N95" s="30">
        <v>13.5</v>
      </c>
      <c r="O95" s="30">
        <v>16.5</v>
      </c>
      <c r="P95" s="30">
        <v>3.2999999999999994</v>
      </c>
    </row>
    <row r="96" spans="1:16" ht="18" customHeight="1">
      <c r="B96" s="117" t="s">
        <v>182</v>
      </c>
      <c r="C96" s="71" t="s">
        <v>20</v>
      </c>
      <c r="D96" s="118">
        <v>40</v>
      </c>
      <c r="E96" s="30">
        <v>3.0666666666666664</v>
      </c>
      <c r="F96" s="30">
        <v>0.26666666666666672</v>
      </c>
      <c r="G96" s="30">
        <v>19.733333333333334</v>
      </c>
      <c r="H96" s="30">
        <v>94</v>
      </c>
      <c r="I96" s="30">
        <v>0</v>
      </c>
      <c r="J96" s="30">
        <v>0</v>
      </c>
      <c r="K96" s="30">
        <v>0</v>
      </c>
      <c r="L96" s="30">
        <v>0.4</v>
      </c>
      <c r="M96" s="30">
        <v>8</v>
      </c>
      <c r="N96" s="30">
        <v>26</v>
      </c>
      <c r="O96" s="30">
        <v>5.6000000000000014</v>
      </c>
      <c r="P96" s="30">
        <v>0.4</v>
      </c>
    </row>
    <row r="97" spans="1:16" ht="19.5" customHeight="1">
      <c r="A97" s="27">
        <v>3</v>
      </c>
      <c r="B97" s="117" t="s">
        <v>192</v>
      </c>
      <c r="C97" s="71" t="s">
        <v>21</v>
      </c>
      <c r="D97" s="118">
        <v>50</v>
      </c>
      <c r="E97" s="30">
        <v>3.25</v>
      </c>
      <c r="F97" s="30">
        <v>0.625</v>
      </c>
      <c r="G97" s="30">
        <v>19.75</v>
      </c>
      <c r="H97" s="30">
        <v>99</v>
      </c>
      <c r="I97" s="30">
        <v>0.125</v>
      </c>
      <c r="J97" s="30">
        <v>0</v>
      </c>
      <c r="K97" s="30">
        <v>0</v>
      </c>
      <c r="L97" s="30">
        <v>0.75</v>
      </c>
      <c r="M97" s="30">
        <v>14.499999999999998</v>
      </c>
      <c r="N97" s="30">
        <v>75</v>
      </c>
      <c r="O97" s="30">
        <v>23.5</v>
      </c>
      <c r="P97" s="30">
        <v>2</v>
      </c>
    </row>
    <row r="98" spans="1:16" ht="18" customHeight="1">
      <c r="A98" s="27">
        <v>3</v>
      </c>
      <c r="B98" s="119"/>
      <c r="C98" s="119" t="s">
        <v>18</v>
      </c>
      <c r="D98" s="120"/>
      <c r="E98" s="119">
        <f>SUM(E86+E87+E90+E93+E94+E95+E96+E97)</f>
        <v>34.320166666666665</v>
      </c>
      <c r="F98" s="119">
        <f t="shared" ref="F98:P98" si="36">SUM(F86+F87+F90+F93+F94+F95+F96+F97)</f>
        <v>48.020666666666671</v>
      </c>
      <c r="G98" s="119">
        <f t="shared" si="36"/>
        <v>153.40183333333334</v>
      </c>
      <c r="H98" s="119">
        <f t="shared" si="36"/>
        <v>1114.806</v>
      </c>
      <c r="I98" s="119">
        <f t="shared" si="36"/>
        <v>0.34899999999999998</v>
      </c>
      <c r="J98" s="119">
        <f t="shared" si="36"/>
        <v>32.124000000000002</v>
      </c>
      <c r="K98" s="119">
        <f t="shared" si="36"/>
        <v>79.288000000000011</v>
      </c>
      <c r="L98" s="119">
        <f t="shared" si="36"/>
        <v>17.55</v>
      </c>
      <c r="M98" s="119">
        <f t="shared" si="36"/>
        <v>500.245</v>
      </c>
      <c r="N98" s="119">
        <f t="shared" si="36"/>
        <v>412.42499999999995</v>
      </c>
      <c r="O98" s="119">
        <f t="shared" si="36"/>
        <v>652.90900000000011</v>
      </c>
      <c r="P98" s="119">
        <f t="shared" si="36"/>
        <v>13.607000000000001</v>
      </c>
    </row>
    <row r="99" spans="1:16" ht="15" customHeight="1">
      <c r="A99" s="27">
        <v>3</v>
      </c>
      <c r="B99" s="136" t="s">
        <v>22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</row>
    <row r="100" spans="1:16" ht="23.25" customHeight="1">
      <c r="A100" s="27">
        <v>3</v>
      </c>
      <c r="B100" s="117" t="s">
        <v>236</v>
      </c>
      <c r="C100" s="71" t="s">
        <v>237</v>
      </c>
      <c r="D100" s="118" t="s">
        <v>313</v>
      </c>
      <c r="E100" s="34">
        <v>6.1319999999999997</v>
      </c>
      <c r="F100" s="34">
        <v>15.834000000000001</v>
      </c>
      <c r="G100" s="34">
        <v>38.135999999999996</v>
      </c>
      <c r="H100" s="34">
        <v>348.6</v>
      </c>
      <c r="I100" s="34">
        <v>0.252</v>
      </c>
      <c r="J100" s="34">
        <v>7.875</v>
      </c>
      <c r="K100" s="34">
        <v>44.1</v>
      </c>
      <c r="L100" s="34">
        <v>5.1029999999999998</v>
      </c>
      <c r="M100" s="34">
        <v>48.258000000000003</v>
      </c>
      <c r="N100" s="34">
        <v>169.34400000000002</v>
      </c>
      <c r="O100" s="34">
        <v>56.091000000000001</v>
      </c>
      <c r="P100" s="34">
        <v>1.7010000000000003</v>
      </c>
    </row>
    <row r="101" spans="1:16" ht="18.600000000000001" customHeight="1">
      <c r="A101" s="27">
        <v>3</v>
      </c>
      <c r="B101" s="61" t="s">
        <v>164</v>
      </c>
      <c r="C101" s="37" t="s">
        <v>26</v>
      </c>
      <c r="D101" s="67" t="s">
        <v>132</v>
      </c>
      <c r="E101" s="30">
        <v>0.08</v>
      </c>
      <c r="F101" s="30">
        <v>0.02</v>
      </c>
      <c r="G101" s="30">
        <v>15</v>
      </c>
      <c r="H101" s="30">
        <v>60.5</v>
      </c>
      <c r="I101" s="30">
        <v>0</v>
      </c>
      <c r="J101" s="30">
        <v>0</v>
      </c>
      <c r="K101" s="30">
        <v>0.04</v>
      </c>
      <c r="L101" s="30">
        <v>0</v>
      </c>
      <c r="M101" s="30">
        <v>11.1</v>
      </c>
      <c r="N101" s="30">
        <v>1.4</v>
      </c>
      <c r="O101" s="30">
        <v>2.8</v>
      </c>
      <c r="P101" s="30">
        <v>0.28000000000000003</v>
      </c>
    </row>
    <row r="102" spans="1:16" ht="18.75" customHeight="1">
      <c r="A102" s="27">
        <v>3</v>
      </c>
      <c r="B102" s="119"/>
      <c r="C102" s="119" t="s">
        <v>18</v>
      </c>
      <c r="D102" s="120"/>
      <c r="E102" s="119">
        <f>SUM(E100:E101)</f>
        <v>6.2119999999999997</v>
      </c>
      <c r="F102" s="119">
        <f t="shared" ref="F102:P102" si="37">SUM(F100:F101)</f>
        <v>15.854000000000001</v>
      </c>
      <c r="G102" s="119">
        <f t="shared" si="37"/>
        <v>53.135999999999996</v>
      </c>
      <c r="H102" s="119">
        <f t="shared" si="37"/>
        <v>409.1</v>
      </c>
      <c r="I102" s="119">
        <f t="shared" si="37"/>
        <v>0.252</v>
      </c>
      <c r="J102" s="119">
        <f t="shared" si="37"/>
        <v>7.875</v>
      </c>
      <c r="K102" s="119">
        <f t="shared" si="37"/>
        <v>44.14</v>
      </c>
      <c r="L102" s="119">
        <f t="shared" si="37"/>
        <v>5.1029999999999998</v>
      </c>
      <c r="M102" s="119">
        <f t="shared" si="37"/>
        <v>59.358000000000004</v>
      </c>
      <c r="N102" s="119">
        <f t="shared" si="37"/>
        <v>170.74400000000003</v>
      </c>
      <c r="O102" s="119">
        <f t="shared" si="37"/>
        <v>58.890999999999998</v>
      </c>
      <c r="P102" s="119">
        <f t="shared" si="37"/>
        <v>1.9810000000000003</v>
      </c>
    </row>
    <row r="103" spans="1:16" ht="20.25" customHeight="1">
      <c r="A103" s="27">
        <v>3</v>
      </c>
      <c r="B103" s="66"/>
      <c r="C103" s="66" t="s">
        <v>27</v>
      </c>
      <c r="D103" s="67"/>
      <c r="E103" s="66">
        <f>SUM(E84+E98+E102)</f>
        <v>58.882166666666663</v>
      </c>
      <c r="F103" s="115">
        <f t="shared" ref="F103:P103" si="38">SUM(F84+F98+F102)</f>
        <v>83.784666666666666</v>
      </c>
      <c r="G103" s="115">
        <f t="shared" si="38"/>
        <v>260.93783333333334</v>
      </c>
      <c r="H103" s="115">
        <f t="shared" si="38"/>
        <v>2003.9560000000001</v>
      </c>
      <c r="I103" s="115">
        <f t="shared" si="38"/>
        <v>0.73399999999999999</v>
      </c>
      <c r="J103" s="115">
        <f t="shared" si="38"/>
        <v>47.599000000000004</v>
      </c>
      <c r="K103" s="115">
        <f t="shared" si="38"/>
        <v>124.90500000000002</v>
      </c>
      <c r="L103" s="115">
        <f t="shared" si="38"/>
        <v>27.143000000000001</v>
      </c>
      <c r="M103" s="115">
        <f t="shared" si="38"/>
        <v>658.54299999999989</v>
      </c>
      <c r="N103" s="115">
        <f t="shared" si="38"/>
        <v>696.399</v>
      </c>
      <c r="O103" s="115">
        <f t="shared" si="38"/>
        <v>750.07</v>
      </c>
      <c r="P103" s="115">
        <f t="shared" si="38"/>
        <v>18.938000000000002</v>
      </c>
    </row>
    <row r="104" spans="1:16" s="36" customFormat="1" ht="20.100000000000001" customHeight="1">
      <c r="B104" s="41"/>
      <c r="C104" s="41"/>
      <c r="D104" s="46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s="36" customFormat="1" ht="20.100000000000001" customHeight="1">
      <c r="B105" s="39" t="s">
        <v>119</v>
      </c>
      <c r="C105" s="38"/>
      <c r="D105" s="46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s="36" customFormat="1" ht="20.100000000000001" customHeight="1">
      <c r="B106" s="39" t="s">
        <v>114</v>
      </c>
      <c r="C106" s="38"/>
      <c r="D106" s="46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s="36" customFormat="1" ht="20.100000000000001" customHeight="1">
      <c r="B107" s="39" t="s">
        <v>115</v>
      </c>
      <c r="C107" s="38"/>
      <c r="D107" s="46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s="36" customFormat="1" ht="20.100000000000001" customHeight="1">
      <c r="B108" s="41"/>
      <c r="C108" s="41"/>
      <c r="D108" s="46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s="36" customFormat="1" ht="39.75" customHeight="1">
      <c r="B109" s="137" t="s">
        <v>0</v>
      </c>
      <c r="C109" s="137" t="s">
        <v>1</v>
      </c>
      <c r="D109" s="138" t="s">
        <v>2</v>
      </c>
      <c r="E109" s="136" t="s">
        <v>3</v>
      </c>
      <c r="F109" s="136"/>
      <c r="G109" s="136"/>
      <c r="H109" s="136" t="s">
        <v>4</v>
      </c>
      <c r="I109" s="136" t="s">
        <v>5</v>
      </c>
      <c r="J109" s="136"/>
      <c r="K109" s="136"/>
      <c r="L109" s="136"/>
      <c r="M109" s="136" t="s">
        <v>6</v>
      </c>
      <c r="N109" s="136"/>
      <c r="O109" s="136"/>
      <c r="P109" s="136"/>
    </row>
    <row r="110" spans="1:16" s="36" customFormat="1" ht="33" customHeight="1">
      <c r="B110" s="137"/>
      <c r="C110" s="137"/>
      <c r="D110" s="138"/>
      <c r="E110" s="66" t="s">
        <v>7</v>
      </c>
      <c r="F110" s="66" t="s">
        <v>8</v>
      </c>
      <c r="G110" s="66" t="s">
        <v>9</v>
      </c>
      <c r="H110" s="136"/>
      <c r="I110" s="66" t="s">
        <v>116</v>
      </c>
      <c r="J110" s="66" t="s">
        <v>10</v>
      </c>
      <c r="K110" s="66" t="s">
        <v>11</v>
      </c>
      <c r="L110" s="66" t="s">
        <v>12</v>
      </c>
      <c r="M110" s="66" t="s">
        <v>13</v>
      </c>
      <c r="N110" s="66" t="s">
        <v>14</v>
      </c>
      <c r="O110" s="66" t="s">
        <v>15</v>
      </c>
      <c r="P110" s="66" t="s">
        <v>16</v>
      </c>
    </row>
    <row r="111" spans="1:16" ht="15" customHeight="1">
      <c r="A111" s="27">
        <v>4</v>
      </c>
      <c r="B111" s="136" t="s">
        <v>17</v>
      </c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</row>
    <row r="112" spans="1:16" ht="36" customHeight="1">
      <c r="A112" s="27">
        <v>4</v>
      </c>
      <c r="B112" s="117" t="s">
        <v>195</v>
      </c>
      <c r="C112" s="71" t="s">
        <v>208</v>
      </c>
      <c r="D112" s="118" t="s">
        <v>313</v>
      </c>
      <c r="E112" s="30">
        <v>12.474</v>
      </c>
      <c r="F112" s="30">
        <v>7.35</v>
      </c>
      <c r="G112" s="30">
        <v>44.94</v>
      </c>
      <c r="H112" s="30">
        <v>321.51</v>
      </c>
      <c r="I112" s="30">
        <v>0.14700000000000002</v>
      </c>
      <c r="J112" s="30">
        <v>2.4359999999999999</v>
      </c>
      <c r="K112" s="30">
        <v>8.4000000000000005E-2</v>
      </c>
      <c r="L112" s="30">
        <v>2.7510000000000003</v>
      </c>
      <c r="M112" s="30">
        <v>100.8</v>
      </c>
      <c r="N112" s="30">
        <v>128.72999999999999</v>
      </c>
      <c r="O112" s="30">
        <v>30.45</v>
      </c>
      <c r="P112" s="30">
        <v>36.854999999999997</v>
      </c>
    </row>
    <row r="113" spans="1:16" ht="20.45" customHeight="1">
      <c r="B113" s="117" t="s">
        <v>209</v>
      </c>
      <c r="C113" s="71" t="s">
        <v>210</v>
      </c>
      <c r="D113" s="118">
        <v>200</v>
      </c>
      <c r="E113" s="30">
        <v>16.754999999999999</v>
      </c>
      <c r="F113" s="30">
        <v>15.75</v>
      </c>
      <c r="G113" s="30">
        <v>3.0149999999999992</v>
      </c>
      <c r="H113" s="30">
        <v>333.28500000000003</v>
      </c>
      <c r="I113" s="30">
        <v>1.0200000000000002</v>
      </c>
      <c r="J113" s="30">
        <v>7.4999999999999997E-2</v>
      </c>
      <c r="K113" s="30">
        <v>5.04</v>
      </c>
      <c r="L113" s="30">
        <v>9.3149999999999995</v>
      </c>
      <c r="M113" s="30">
        <v>101.91</v>
      </c>
      <c r="N113" s="30">
        <v>20.100000000000001</v>
      </c>
      <c r="O113" s="30">
        <v>173.05500000000001</v>
      </c>
      <c r="P113" s="30">
        <v>2.2949999999999999</v>
      </c>
    </row>
    <row r="114" spans="1:16" s="68" customFormat="1" ht="19.899999999999999" customHeight="1">
      <c r="B114" s="89"/>
      <c r="C114" s="71" t="s">
        <v>171</v>
      </c>
      <c r="D114" s="90"/>
      <c r="E114" s="30">
        <f>SUM(E112:E113)/2</f>
        <v>14.6145</v>
      </c>
      <c r="F114" s="30">
        <f t="shared" ref="F114:P114" si="39">SUM(F112:F113)/2</f>
        <v>11.55</v>
      </c>
      <c r="G114" s="30">
        <f t="shared" si="39"/>
        <v>23.977499999999999</v>
      </c>
      <c r="H114" s="30">
        <f t="shared" si="39"/>
        <v>327.39750000000004</v>
      </c>
      <c r="I114" s="30">
        <f t="shared" si="39"/>
        <v>0.58350000000000013</v>
      </c>
      <c r="J114" s="30">
        <f t="shared" si="39"/>
        <v>1.2555000000000001</v>
      </c>
      <c r="K114" s="30">
        <f t="shared" si="39"/>
        <v>2.5619999999999998</v>
      </c>
      <c r="L114" s="30">
        <f t="shared" si="39"/>
        <v>6.0329999999999995</v>
      </c>
      <c r="M114" s="30">
        <f t="shared" si="39"/>
        <v>101.35499999999999</v>
      </c>
      <c r="N114" s="30">
        <f t="shared" si="39"/>
        <v>74.414999999999992</v>
      </c>
      <c r="O114" s="30">
        <f t="shared" si="39"/>
        <v>101.7525</v>
      </c>
      <c r="P114" s="30">
        <f t="shared" si="39"/>
        <v>19.574999999999999</v>
      </c>
    </row>
    <row r="115" spans="1:16" s="68" customFormat="1" ht="21.6" customHeight="1">
      <c r="B115" s="89" t="s">
        <v>188</v>
      </c>
      <c r="C115" s="71" t="s">
        <v>24</v>
      </c>
      <c r="D115" s="90">
        <v>30</v>
      </c>
      <c r="E115" s="30">
        <v>2.4</v>
      </c>
      <c r="F115" s="30">
        <v>7.4999999999999997E-2</v>
      </c>
      <c r="G115" s="30">
        <v>15.9</v>
      </c>
      <c r="H115" s="30">
        <v>81</v>
      </c>
      <c r="I115" s="30">
        <v>0.06</v>
      </c>
      <c r="J115" s="30">
        <v>1.2</v>
      </c>
      <c r="K115" s="30">
        <v>0</v>
      </c>
      <c r="L115" s="30">
        <v>0</v>
      </c>
      <c r="M115" s="30">
        <v>11.4</v>
      </c>
      <c r="N115" s="30">
        <v>39</v>
      </c>
      <c r="O115" s="30">
        <v>7.8</v>
      </c>
      <c r="P115" s="30">
        <v>0.75</v>
      </c>
    </row>
    <row r="116" spans="1:16" ht="17.45" customHeight="1">
      <c r="A116" s="27">
        <v>4</v>
      </c>
      <c r="B116" s="87" t="s">
        <v>211</v>
      </c>
      <c r="C116" s="37" t="s">
        <v>246</v>
      </c>
      <c r="D116" s="67">
        <v>10</v>
      </c>
      <c r="E116" s="30">
        <v>0.25</v>
      </c>
      <c r="F116" s="30">
        <v>5.3</v>
      </c>
      <c r="G116" s="30">
        <v>1.89</v>
      </c>
      <c r="H116" s="30">
        <v>56</v>
      </c>
      <c r="I116" s="30">
        <v>1E-3</v>
      </c>
      <c r="J116" s="30">
        <v>0</v>
      </c>
      <c r="K116" s="30">
        <v>0.04</v>
      </c>
      <c r="L116" s="30">
        <v>0.1</v>
      </c>
      <c r="M116" s="30">
        <v>2.4</v>
      </c>
      <c r="N116" s="30">
        <v>3</v>
      </c>
      <c r="O116" s="30">
        <v>0</v>
      </c>
      <c r="P116" s="30">
        <v>0.02</v>
      </c>
    </row>
    <row r="117" spans="1:16" s="68" customFormat="1" ht="19.899999999999999" customHeight="1">
      <c r="B117" s="89"/>
      <c r="C117" s="71" t="s">
        <v>173</v>
      </c>
      <c r="D117" s="90">
        <v>150</v>
      </c>
      <c r="E117" s="30">
        <v>0.6</v>
      </c>
      <c r="F117" s="30">
        <v>0.6</v>
      </c>
      <c r="G117" s="30">
        <v>24.7</v>
      </c>
      <c r="H117" s="30">
        <v>70.5</v>
      </c>
      <c r="I117" s="30">
        <v>0</v>
      </c>
      <c r="J117" s="30">
        <v>0</v>
      </c>
      <c r="K117" s="30">
        <v>15</v>
      </c>
      <c r="L117" s="30">
        <v>0.3</v>
      </c>
      <c r="M117" s="30">
        <v>24</v>
      </c>
      <c r="N117" s="30">
        <v>13.5</v>
      </c>
      <c r="O117" s="30">
        <v>16.5</v>
      </c>
      <c r="P117" s="30">
        <v>3.2999999999999994</v>
      </c>
    </row>
    <row r="118" spans="1:16" s="68" customFormat="1" ht="18.600000000000001" customHeight="1">
      <c r="B118" s="89" t="s">
        <v>224</v>
      </c>
      <c r="C118" s="71" t="s">
        <v>56</v>
      </c>
      <c r="D118" s="90">
        <v>200</v>
      </c>
      <c r="E118" s="30">
        <v>4.08</v>
      </c>
      <c r="F118" s="30">
        <v>3.54</v>
      </c>
      <c r="G118" s="30">
        <v>17.579999999999998</v>
      </c>
      <c r="H118" s="30">
        <v>118.5</v>
      </c>
      <c r="I118" s="30">
        <v>0.06</v>
      </c>
      <c r="J118" s="30">
        <v>1.58</v>
      </c>
      <c r="K118" s="30">
        <v>0.02</v>
      </c>
      <c r="L118" s="30">
        <v>0</v>
      </c>
      <c r="M118" s="30">
        <v>152.22</v>
      </c>
      <c r="N118" s="30">
        <v>124.56</v>
      </c>
      <c r="O118" s="30">
        <v>21.34</v>
      </c>
      <c r="P118" s="30">
        <v>0.48</v>
      </c>
    </row>
    <row r="119" spans="1:16" ht="18.600000000000001" customHeight="1">
      <c r="A119" s="27">
        <v>4</v>
      </c>
      <c r="B119" s="119"/>
      <c r="C119" s="119" t="s">
        <v>18</v>
      </c>
      <c r="D119" s="120"/>
      <c r="E119" s="119">
        <f>SUM(E114:E118)</f>
        <v>21.944499999999998</v>
      </c>
      <c r="F119" s="119">
        <f t="shared" ref="F119:P119" si="40">SUM(F114:F118)</f>
        <v>21.065000000000001</v>
      </c>
      <c r="G119" s="119">
        <f t="shared" si="40"/>
        <v>84.047499999999999</v>
      </c>
      <c r="H119" s="119">
        <f t="shared" si="40"/>
        <v>653.39750000000004</v>
      </c>
      <c r="I119" s="119">
        <f t="shared" si="40"/>
        <v>0.70450000000000013</v>
      </c>
      <c r="J119" s="119">
        <f t="shared" si="40"/>
        <v>4.0354999999999999</v>
      </c>
      <c r="K119" s="119">
        <f t="shared" si="40"/>
        <v>17.622</v>
      </c>
      <c r="L119" s="119">
        <f t="shared" si="40"/>
        <v>6.4329999999999989</v>
      </c>
      <c r="M119" s="119">
        <f t="shared" si="40"/>
        <v>291.375</v>
      </c>
      <c r="N119" s="119">
        <f t="shared" si="40"/>
        <v>254.47499999999999</v>
      </c>
      <c r="O119" s="119">
        <f t="shared" si="40"/>
        <v>147.39249999999998</v>
      </c>
      <c r="P119" s="119">
        <f t="shared" si="40"/>
        <v>24.125</v>
      </c>
    </row>
    <row r="120" spans="1:16" ht="15" customHeight="1">
      <c r="A120" s="27">
        <v>4</v>
      </c>
      <c r="B120" s="136" t="s">
        <v>19</v>
      </c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</row>
    <row r="121" spans="1:16" ht="24.75" customHeight="1">
      <c r="A121" s="27">
        <v>4</v>
      </c>
      <c r="B121" s="61" t="s">
        <v>180</v>
      </c>
      <c r="C121" s="71" t="s">
        <v>129</v>
      </c>
      <c r="D121" s="118">
        <v>100</v>
      </c>
      <c r="E121" s="30">
        <v>2.29</v>
      </c>
      <c r="F121" s="30">
        <v>1.22</v>
      </c>
      <c r="G121" s="30">
        <v>14.34</v>
      </c>
      <c r="H121" s="30">
        <v>67</v>
      </c>
      <c r="I121" s="30">
        <v>0</v>
      </c>
      <c r="J121" s="30">
        <v>1.8</v>
      </c>
      <c r="K121" s="30">
        <v>0</v>
      </c>
      <c r="L121" s="30">
        <v>0.1</v>
      </c>
      <c r="M121" s="30">
        <v>3</v>
      </c>
      <c r="N121" s="30">
        <v>46</v>
      </c>
      <c r="O121" s="30">
        <v>13</v>
      </c>
      <c r="P121" s="30">
        <v>0.3</v>
      </c>
    </row>
    <row r="122" spans="1:16" ht="40.5" customHeight="1">
      <c r="A122" s="27">
        <v>4</v>
      </c>
      <c r="B122" s="117" t="s">
        <v>203</v>
      </c>
      <c r="C122" s="71" t="s">
        <v>134</v>
      </c>
      <c r="D122" s="118" t="s">
        <v>314</v>
      </c>
      <c r="E122" s="30">
        <v>2.4750000000000001</v>
      </c>
      <c r="F122" s="30">
        <v>3.0249999999999999</v>
      </c>
      <c r="G122" s="30">
        <v>17.05</v>
      </c>
      <c r="H122" s="30">
        <v>105.325</v>
      </c>
      <c r="I122" s="30">
        <v>0</v>
      </c>
      <c r="J122" s="30">
        <v>0</v>
      </c>
      <c r="K122" s="30">
        <v>12.1</v>
      </c>
      <c r="L122" s="30">
        <v>1.375</v>
      </c>
      <c r="M122" s="30">
        <v>32.725000000000001</v>
      </c>
      <c r="N122" s="30">
        <v>32.725000000000001</v>
      </c>
      <c r="O122" s="30">
        <v>79.474999999999994</v>
      </c>
      <c r="P122" s="30">
        <v>1.375</v>
      </c>
    </row>
    <row r="123" spans="1:16" ht="19.149999999999999" customHeight="1">
      <c r="A123" s="27">
        <v>4</v>
      </c>
      <c r="B123" s="117" t="s">
        <v>194</v>
      </c>
      <c r="C123" s="71" t="s">
        <v>292</v>
      </c>
      <c r="D123" s="118">
        <v>280</v>
      </c>
      <c r="E123" s="32">
        <v>34.159999999999997</v>
      </c>
      <c r="F123" s="32">
        <v>19.25</v>
      </c>
      <c r="G123" s="32">
        <v>66.36</v>
      </c>
      <c r="H123" s="32">
        <v>510.17</v>
      </c>
      <c r="I123" s="32">
        <v>0</v>
      </c>
      <c r="J123" s="32">
        <v>0</v>
      </c>
      <c r="K123" s="32">
        <v>0</v>
      </c>
      <c r="L123" s="32">
        <v>0.7</v>
      </c>
      <c r="M123" s="32">
        <v>3.2</v>
      </c>
      <c r="N123" s="32">
        <v>24.8</v>
      </c>
      <c r="O123" s="32">
        <v>14.1</v>
      </c>
      <c r="P123" s="32">
        <v>0.7</v>
      </c>
    </row>
    <row r="124" spans="1:16" ht="20.100000000000001" customHeight="1">
      <c r="A124" s="27">
        <v>4</v>
      </c>
      <c r="B124" s="61" t="s">
        <v>181</v>
      </c>
      <c r="C124" s="37" t="s">
        <v>58</v>
      </c>
      <c r="D124" s="67">
        <v>200</v>
      </c>
      <c r="E124" s="30">
        <v>0.28000000000000003</v>
      </c>
      <c r="F124" s="30">
        <v>0.1</v>
      </c>
      <c r="G124" s="30">
        <v>32.880000000000003</v>
      </c>
      <c r="H124" s="30">
        <v>133.54000000000002</v>
      </c>
      <c r="I124" s="30">
        <v>0</v>
      </c>
      <c r="J124" s="30">
        <v>0</v>
      </c>
      <c r="K124" s="30">
        <v>19.3</v>
      </c>
      <c r="L124" s="30">
        <v>0.16</v>
      </c>
      <c r="M124" s="30">
        <v>13.78</v>
      </c>
      <c r="N124" s="30">
        <v>5.78</v>
      </c>
      <c r="O124" s="30">
        <v>7.38</v>
      </c>
      <c r="P124" s="30">
        <v>0.48</v>
      </c>
    </row>
    <row r="125" spans="1:16" ht="18.75" customHeight="1">
      <c r="A125" s="27">
        <v>4</v>
      </c>
      <c r="B125" s="117" t="s">
        <v>182</v>
      </c>
      <c r="C125" s="71" t="s">
        <v>20</v>
      </c>
      <c r="D125" s="118">
        <v>40</v>
      </c>
      <c r="E125" s="30">
        <v>3.0666666666666664</v>
      </c>
      <c r="F125" s="30">
        <v>0.26666666666666672</v>
      </c>
      <c r="G125" s="30">
        <v>19.733333333333334</v>
      </c>
      <c r="H125" s="30">
        <v>94</v>
      </c>
      <c r="I125" s="30">
        <v>0</v>
      </c>
      <c r="J125" s="30">
        <v>0</v>
      </c>
      <c r="K125" s="30">
        <v>0</v>
      </c>
      <c r="L125" s="30">
        <v>0.4</v>
      </c>
      <c r="M125" s="30">
        <v>8</v>
      </c>
      <c r="N125" s="30">
        <v>26</v>
      </c>
      <c r="O125" s="30">
        <v>5.6000000000000014</v>
      </c>
      <c r="P125" s="30">
        <v>0.4</v>
      </c>
    </row>
    <row r="126" spans="1:16" ht="19.5" customHeight="1">
      <c r="A126" s="27">
        <v>4</v>
      </c>
      <c r="B126" s="117" t="s">
        <v>192</v>
      </c>
      <c r="C126" s="71" t="s">
        <v>21</v>
      </c>
      <c r="D126" s="118">
        <v>50</v>
      </c>
      <c r="E126" s="30">
        <v>3.25</v>
      </c>
      <c r="F126" s="30">
        <v>0.625</v>
      </c>
      <c r="G126" s="30">
        <v>19.75</v>
      </c>
      <c r="H126" s="30">
        <v>99</v>
      </c>
      <c r="I126" s="30">
        <v>0.125</v>
      </c>
      <c r="J126" s="30">
        <v>0</v>
      </c>
      <c r="K126" s="30">
        <v>0</v>
      </c>
      <c r="L126" s="30">
        <v>0.75</v>
      </c>
      <c r="M126" s="30">
        <v>14.499999999999998</v>
      </c>
      <c r="N126" s="30">
        <v>75</v>
      </c>
      <c r="O126" s="30">
        <v>23.5</v>
      </c>
      <c r="P126" s="30">
        <v>2</v>
      </c>
    </row>
    <row r="127" spans="1:16" ht="19.899999999999999" hidden="1" customHeight="1">
      <c r="B127" s="66"/>
      <c r="C127" s="37">
        <v>0</v>
      </c>
      <c r="D127" s="67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</row>
    <row r="128" spans="1:16" ht="17.45" customHeight="1">
      <c r="A128" s="27">
        <v>4</v>
      </c>
      <c r="B128" s="119"/>
      <c r="C128" s="119" t="s">
        <v>18</v>
      </c>
      <c r="D128" s="120"/>
      <c r="E128" s="119">
        <f>SUM(E121:E127)</f>
        <v>45.521666666666661</v>
      </c>
      <c r="F128" s="119">
        <f t="shared" ref="F128:P128" si="41">SUM(F121:F127)</f>
        <v>24.486666666666668</v>
      </c>
      <c r="G128" s="119">
        <f t="shared" si="41"/>
        <v>170.11333333333334</v>
      </c>
      <c r="H128" s="119">
        <f t="shared" si="41"/>
        <v>1009.0350000000001</v>
      </c>
      <c r="I128" s="119">
        <f t="shared" si="41"/>
        <v>0.125</v>
      </c>
      <c r="J128" s="119">
        <f t="shared" si="41"/>
        <v>1.8</v>
      </c>
      <c r="K128" s="119">
        <f t="shared" si="41"/>
        <v>31.4</v>
      </c>
      <c r="L128" s="119">
        <f t="shared" si="41"/>
        <v>3.4849999999999999</v>
      </c>
      <c r="M128" s="119">
        <f t="shared" si="41"/>
        <v>75.204999999999998</v>
      </c>
      <c r="N128" s="119">
        <f t="shared" si="41"/>
        <v>210.30500000000001</v>
      </c>
      <c r="O128" s="119">
        <f t="shared" si="41"/>
        <v>143.05499999999998</v>
      </c>
      <c r="P128" s="119">
        <f t="shared" si="41"/>
        <v>5.2549999999999999</v>
      </c>
    </row>
    <row r="129" spans="1:16" ht="15" customHeight="1">
      <c r="A129" s="27">
        <v>4</v>
      </c>
      <c r="B129" s="136" t="s">
        <v>22</v>
      </c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</row>
    <row r="130" spans="1:16" ht="26.45" customHeight="1">
      <c r="A130" s="27">
        <v>4</v>
      </c>
      <c r="B130" s="117" t="s">
        <v>226</v>
      </c>
      <c r="C130" s="71" t="s">
        <v>225</v>
      </c>
      <c r="D130" s="118" t="s">
        <v>313</v>
      </c>
      <c r="E130" s="30">
        <v>14.741999999999997</v>
      </c>
      <c r="F130" s="30">
        <v>21.524999999999999</v>
      </c>
      <c r="G130" s="30">
        <v>64.028999999999996</v>
      </c>
      <c r="H130" s="30">
        <v>508.80900000000003</v>
      </c>
      <c r="I130" s="30">
        <v>0.29400000000000004</v>
      </c>
      <c r="J130" s="30">
        <v>0.77700000000000002</v>
      </c>
      <c r="K130" s="30">
        <v>4.2000000000000003E-2</v>
      </c>
      <c r="L130" s="30">
        <v>6.2579999999999991</v>
      </c>
      <c r="M130" s="30">
        <v>165.102</v>
      </c>
      <c r="N130" s="30">
        <v>230.34899999999999</v>
      </c>
      <c r="O130" s="30">
        <v>63.650999999999996</v>
      </c>
      <c r="P130" s="30">
        <v>2.7510000000000003</v>
      </c>
    </row>
    <row r="131" spans="1:16" ht="20.100000000000001" customHeight="1">
      <c r="B131" s="66" t="s">
        <v>172</v>
      </c>
      <c r="C131" s="37" t="s">
        <v>51</v>
      </c>
      <c r="D131" s="67">
        <v>200</v>
      </c>
      <c r="E131" s="30">
        <v>0.16</v>
      </c>
      <c r="F131" s="30">
        <v>0.16</v>
      </c>
      <c r="G131" s="30">
        <v>19.88</v>
      </c>
      <c r="H131" s="30">
        <v>81.599999999999994</v>
      </c>
      <c r="I131" s="30">
        <v>0.02</v>
      </c>
      <c r="J131" s="30">
        <v>0.9</v>
      </c>
      <c r="K131" s="30">
        <v>0</v>
      </c>
      <c r="L131" s="30">
        <v>0.08</v>
      </c>
      <c r="M131" s="30">
        <v>13.94</v>
      </c>
      <c r="N131" s="30">
        <v>4.4000000000000004</v>
      </c>
      <c r="O131" s="30">
        <v>5.14</v>
      </c>
      <c r="P131" s="30">
        <v>0.93600000000000005</v>
      </c>
    </row>
    <row r="132" spans="1:16" ht="19.5" customHeight="1">
      <c r="A132" s="27">
        <v>4</v>
      </c>
      <c r="B132" s="119"/>
      <c r="C132" s="119" t="s">
        <v>18</v>
      </c>
      <c r="D132" s="124"/>
      <c r="E132" s="119">
        <f>SUM(E130:E131)</f>
        <v>14.901999999999997</v>
      </c>
      <c r="F132" s="119">
        <f t="shared" ref="F132:P132" si="42">SUM(F130:F131)</f>
        <v>21.684999999999999</v>
      </c>
      <c r="G132" s="119">
        <f t="shared" si="42"/>
        <v>83.908999999999992</v>
      </c>
      <c r="H132" s="119">
        <f t="shared" si="42"/>
        <v>590.40899999999999</v>
      </c>
      <c r="I132" s="119">
        <f t="shared" si="42"/>
        <v>0.31400000000000006</v>
      </c>
      <c r="J132" s="119">
        <f t="shared" si="42"/>
        <v>1.677</v>
      </c>
      <c r="K132" s="119">
        <f t="shared" si="42"/>
        <v>4.2000000000000003E-2</v>
      </c>
      <c r="L132" s="119">
        <f t="shared" si="42"/>
        <v>6.3379999999999992</v>
      </c>
      <c r="M132" s="119">
        <f t="shared" si="42"/>
        <v>179.042</v>
      </c>
      <c r="N132" s="119">
        <f t="shared" si="42"/>
        <v>234.749</v>
      </c>
      <c r="O132" s="119">
        <f t="shared" si="42"/>
        <v>68.790999999999997</v>
      </c>
      <c r="P132" s="119">
        <f t="shared" si="42"/>
        <v>3.6870000000000003</v>
      </c>
    </row>
    <row r="133" spans="1:16" ht="20.100000000000001" customHeight="1">
      <c r="A133" s="27">
        <v>4</v>
      </c>
      <c r="B133" s="66"/>
      <c r="C133" s="66" t="s">
        <v>28</v>
      </c>
      <c r="D133" s="47"/>
      <c r="E133" s="66">
        <f>SUM(E119+E128+E132)</f>
        <v>82.368166666666653</v>
      </c>
      <c r="F133" s="115">
        <f t="shared" ref="F133:P133" si="43">SUM(F119+F128+F132)</f>
        <v>67.236666666666665</v>
      </c>
      <c r="G133" s="115">
        <f t="shared" si="43"/>
        <v>338.06983333333335</v>
      </c>
      <c r="H133" s="115">
        <f t="shared" si="43"/>
        <v>2252.8415</v>
      </c>
      <c r="I133" s="115">
        <f t="shared" si="43"/>
        <v>1.1435000000000002</v>
      </c>
      <c r="J133" s="115">
        <f t="shared" si="43"/>
        <v>7.5124999999999993</v>
      </c>
      <c r="K133" s="115">
        <f t="shared" si="43"/>
        <v>49.064</v>
      </c>
      <c r="L133" s="115">
        <f t="shared" si="43"/>
        <v>16.256</v>
      </c>
      <c r="M133" s="115">
        <f t="shared" si="43"/>
        <v>545.62199999999996</v>
      </c>
      <c r="N133" s="115">
        <f t="shared" si="43"/>
        <v>699.529</v>
      </c>
      <c r="O133" s="115">
        <f t="shared" si="43"/>
        <v>359.23849999999999</v>
      </c>
      <c r="P133" s="115">
        <f t="shared" si="43"/>
        <v>33.067</v>
      </c>
    </row>
    <row r="134" spans="1:16" s="36" customFormat="1" ht="20.100000000000001" customHeight="1">
      <c r="B134" s="41"/>
      <c r="C134" s="41"/>
      <c r="D134" s="46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s="36" customFormat="1" ht="20.100000000000001" customHeight="1">
      <c r="B135" s="39" t="s">
        <v>120</v>
      </c>
      <c r="C135" s="38"/>
      <c r="D135" s="46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s="36" customFormat="1" ht="20.100000000000001" customHeight="1">
      <c r="B136" s="39" t="s">
        <v>114</v>
      </c>
      <c r="C136" s="38"/>
      <c r="D136" s="46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s="36" customFormat="1" ht="20.100000000000001" customHeight="1">
      <c r="B137" s="39" t="s">
        <v>115</v>
      </c>
      <c r="C137" s="38"/>
      <c r="D137" s="46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s="36" customFormat="1" ht="20.100000000000001" customHeight="1">
      <c r="B138" s="41"/>
      <c r="C138" s="41"/>
      <c r="D138" s="46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s="36" customFormat="1" ht="39.75" customHeight="1">
      <c r="B139" s="137" t="s">
        <v>0</v>
      </c>
      <c r="C139" s="137" t="s">
        <v>1</v>
      </c>
      <c r="D139" s="138" t="s">
        <v>2</v>
      </c>
      <c r="E139" s="136" t="s">
        <v>3</v>
      </c>
      <c r="F139" s="136"/>
      <c r="G139" s="136"/>
      <c r="H139" s="136" t="s">
        <v>4</v>
      </c>
      <c r="I139" s="136" t="s">
        <v>5</v>
      </c>
      <c r="J139" s="136"/>
      <c r="K139" s="136"/>
      <c r="L139" s="136"/>
      <c r="M139" s="136" t="s">
        <v>6</v>
      </c>
      <c r="N139" s="136"/>
      <c r="O139" s="136"/>
      <c r="P139" s="136"/>
    </row>
    <row r="140" spans="1:16" s="36" customFormat="1" ht="33.6" customHeight="1">
      <c r="B140" s="137"/>
      <c r="C140" s="137"/>
      <c r="D140" s="138"/>
      <c r="E140" s="66" t="s">
        <v>7</v>
      </c>
      <c r="F140" s="66" t="s">
        <v>8</v>
      </c>
      <c r="G140" s="66" t="s">
        <v>9</v>
      </c>
      <c r="H140" s="136"/>
      <c r="I140" s="66" t="s">
        <v>116</v>
      </c>
      <c r="J140" s="66" t="s">
        <v>10</v>
      </c>
      <c r="K140" s="66" t="s">
        <v>11</v>
      </c>
      <c r="L140" s="66" t="s">
        <v>12</v>
      </c>
      <c r="M140" s="66" t="s">
        <v>13</v>
      </c>
      <c r="N140" s="66" t="s">
        <v>14</v>
      </c>
      <c r="O140" s="66" t="s">
        <v>15</v>
      </c>
      <c r="P140" s="66" t="s">
        <v>16</v>
      </c>
    </row>
    <row r="141" spans="1:16" ht="20.100000000000001" customHeight="1">
      <c r="A141" s="27">
        <v>5</v>
      </c>
      <c r="B141" s="136" t="s">
        <v>17</v>
      </c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</row>
    <row r="142" spans="1:16" ht="40.5" customHeight="1">
      <c r="A142" s="27">
        <v>5</v>
      </c>
      <c r="B142" s="117" t="s">
        <v>196</v>
      </c>
      <c r="C142" s="71" t="s">
        <v>227</v>
      </c>
      <c r="D142" s="118" t="s">
        <v>313</v>
      </c>
      <c r="E142" s="30">
        <v>15.75</v>
      </c>
      <c r="F142" s="30">
        <v>14.04</v>
      </c>
      <c r="G142" s="30">
        <v>29.718000000000004</v>
      </c>
      <c r="H142" s="30">
        <v>362.7</v>
      </c>
      <c r="I142" s="30">
        <v>7.2000000000000008E-2</v>
      </c>
      <c r="J142" s="30">
        <v>1.9800000000000002</v>
      </c>
      <c r="K142" s="30">
        <v>0.10799999999999998</v>
      </c>
      <c r="L142" s="30">
        <v>6.0479999999999992</v>
      </c>
      <c r="M142" s="30">
        <v>184.86</v>
      </c>
      <c r="N142" s="30">
        <v>265.14000000000004</v>
      </c>
      <c r="O142" s="30">
        <v>40.409999999999997</v>
      </c>
      <c r="P142" s="30">
        <v>1.0619999999999998</v>
      </c>
    </row>
    <row r="143" spans="1:16" ht="20.25" customHeight="1">
      <c r="A143" s="27">
        <v>5</v>
      </c>
      <c r="B143" s="66" t="s">
        <v>211</v>
      </c>
      <c r="C143" s="37" t="s">
        <v>136</v>
      </c>
      <c r="D143" s="67">
        <v>10</v>
      </c>
      <c r="E143" s="30">
        <v>0.08</v>
      </c>
      <c r="F143" s="30">
        <v>7.25</v>
      </c>
      <c r="G143" s="30">
        <v>0.13</v>
      </c>
      <c r="H143" s="30">
        <v>66.099999999999994</v>
      </c>
      <c r="I143" s="30">
        <v>1E-3</v>
      </c>
      <c r="J143" s="30">
        <v>0</v>
      </c>
      <c r="K143" s="30">
        <v>0.04</v>
      </c>
      <c r="L143" s="30">
        <v>0.1</v>
      </c>
      <c r="M143" s="30">
        <v>2.4</v>
      </c>
      <c r="N143" s="30">
        <v>3</v>
      </c>
      <c r="O143" s="30">
        <v>0</v>
      </c>
      <c r="P143" s="30">
        <v>0.02</v>
      </c>
    </row>
    <row r="144" spans="1:16" ht="20.100000000000001" customHeight="1">
      <c r="A144" s="27">
        <v>5</v>
      </c>
      <c r="B144" s="66" t="s">
        <v>188</v>
      </c>
      <c r="C144" s="37" t="s">
        <v>24</v>
      </c>
      <c r="D144" s="67">
        <v>30</v>
      </c>
      <c r="E144" s="30">
        <v>2.4</v>
      </c>
      <c r="F144" s="30">
        <v>7.4999999999999997E-2</v>
      </c>
      <c r="G144" s="30">
        <v>15.9</v>
      </c>
      <c r="H144" s="30">
        <v>81</v>
      </c>
      <c r="I144" s="30">
        <v>0.06</v>
      </c>
      <c r="J144" s="30">
        <v>1.2</v>
      </c>
      <c r="K144" s="30">
        <v>0</v>
      </c>
      <c r="L144" s="30">
        <v>0</v>
      </c>
      <c r="M144" s="30">
        <v>11.4</v>
      </c>
      <c r="N144" s="30">
        <v>39</v>
      </c>
      <c r="O144" s="30">
        <v>7.8</v>
      </c>
      <c r="P144" s="30">
        <v>0.75</v>
      </c>
    </row>
    <row r="145" spans="1:16" ht="18" customHeight="1">
      <c r="A145" s="27">
        <v>5</v>
      </c>
      <c r="B145" s="66" t="s">
        <v>164</v>
      </c>
      <c r="C145" s="37" t="s">
        <v>26</v>
      </c>
      <c r="D145" s="67" t="s">
        <v>132</v>
      </c>
      <c r="E145" s="30">
        <v>0.08</v>
      </c>
      <c r="F145" s="30">
        <v>0.02</v>
      </c>
      <c r="G145" s="30">
        <v>15</v>
      </c>
      <c r="H145" s="30">
        <v>60.5</v>
      </c>
      <c r="I145" s="30">
        <v>0</v>
      </c>
      <c r="J145" s="30">
        <v>0</v>
      </c>
      <c r="K145" s="30">
        <v>0.04</v>
      </c>
      <c r="L145" s="30">
        <v>0</v>
      </c>
      <c r="M145" s="30">
        <v>11.1</v>
      </c>
      <c r="N145" s="30">
        <v>1.4</v>
      </c>
      <c r="O145" s="30">
        <v>2.8</v>
      </c>
      <c r="P145" s="30">
        <v>0.28000000000000003</v>
      </c>
    </row>
    <row r="146" spans="1:16" s="68" customFormat="1" ht="18" customHeight="1">
      <c r="B146" s="91"/>
      <c r="C146" s="71" t="s">
        <v>248</v>
      </c>
      <c r="D146" s="92">
        <v>200</v>
      </c>
      <c r="E146" s="30">
        <v>11.6</v>
      </c>
      <c r="F146" s="30">
        <v>12.8</v>
      </c>
      <c r="G146" s="30">
        <v>18.8</v>
      </c>
      <c r="H146" s="30">
        <v>243.6</v>
      </c>
      <c r="I146" s="30">
        <v>0.2</v>
      </c>
      <c r="J146" s="30">
        <v>5.2</v>
      </c>
      <c r="K146" s="30">
        <v>0</v>
      </c>
      <c r="L146" s="30">
        <v>0</v>
      </c>
      <c r="M146" s="30">
        <v>480</v>
      </c>
      <c r="N146" s="30">
        <v>360</v>
      </c>
      <c r="O146" s="30">
        <v>56</v>
      </c>
      <c r="P146" s="30">
        <v>0.4</v>
      </c>
    </row>
    <row r="147" spans="1:16" ht="19.5" customHeight="1">
      <c r="A147" s="27">
        <v>5</v>
      </c>
      <c r="B147" s="66"/>
      <c r="C147" s="37" t="s">
        <v>173</v>
      </c>
      <c r="D147" s="67">
        <v>150</v>
      </c>
      <c r="E147" s="30">
        <v>1.3999999999999997</v>
      </c>
      <c r="F147" s="30">
        <v>0.20000000000000004</v>
      </c>
      <c r="G147" s="30">
        <v>14.3</v>
      </c>
      <c r="H147" s="30">
        <v>64.599999999999994</v>
      </c>
      <c r="I147" s="30">
        <v>5.9999999999999991E-2</v>
      </c>
      <c r="J147" s="30">
        <v>15</v>
      </c>
      <c r="K147" s="30">
        <v>0</v>
      </c>
      <c r="L147" s="30">
        <v>1.7</v>
      </c>
      <c r="M147" s="30">
        <v>30</v>
      </c>
      <c r="N147" s="30">
        <v>51</v>
      </c>
      <c r="O147" s="30">
        <v>24</v>
      </c>
      <c r="P147" s="30">
        <v>0.9</v>
      </c>
    </row>
    <row r="148" spans="1:16" ht="18" customHeight="1">
      <c r="A148" s="27">
        <v>5</v>
      </c>
      <c r="B148" s="119"/>
      <c r="C148" s="119" t="s">
        <v>18</v>
      </c>
      <c r="D148" s="120"/>
      <c r="E148" s="119">
        <f>SUM(E142:E147)</f>
        <v>31.309999999999995</v>
      </c>
      <c r="F148" s="119">
        <f t="shared" ref="F148:P148" si="44">SUM(F142:F147)</f>
        <v>34.385000000000005</v>
      </c>
      <c r="G148" s="119">
        <f t="shared" si="44"/>
        <v>93.847999999999999</v>
      </c>
      <c r="H148" s="119">
        <f t="shared" si="44"/>
        <v>878.5</v>
      </c>
      <c r="I148" s="119">
        <f t="shared" si="44"/>
        <v>0.39300000000000002</v>
      </c>
      <c r="J148" s="119">
        <f t="shared" si="44"/>
        <v>23.380000000000003</v>
      </c>
      <c r="K148" s="119">
        <f t="shared" si="44"/>
        <v>0.188</v>
      </c>
      <c r="L148" s="119">
        <f t="shared" si="44"/>
        <v>7.847999999999999</v>
      </c>
      <c r="M148" s="119">
        <f t="shared" si="44"/>
        <v>719.76</v>
      </c>
      <c r="N148" s="119">
        <f t="shared" si="44"/>
        <v>719.54</v>
      </c>
      <c r="O148" s="119">
        <f t="shared" si="44"/>
        <v>131.01</v>
      </c>
      <c r="P148" s="119">
        <f t="shared" si="44"/>
        <v>3.4119999999999999</v>
      </c>
    </row>
    <row r="149" spans="1:16" ht="20.25" customHeight="1">
      <c r="A149" s="27">
        <v>5</v>
      </c>
      <c r="B149" s="136" t="s">
        <v>19</v>
      </c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</row>
    <row r="150" spans="1:16" ht="36" customHeight="1">
      <c r="A150" s="27">
        <v>5</v>
      </c>
      <c r="B150" s="117" t="s">
        <v>201</v>
      </c>
      <c r="C150" s="71" t="s">
        <v>315</v>
      </c>
      <c r="D150" s="118">
        <v>100</v>
      </c>
      <c r="E150" s="30">
        <v>1.41</v>
      </c>
      <c r="F150" s="30">
        <v>5.08</v>
      </c>
      <c r="G150" s="30">
        <v>9.02</v>
      </c>
      <c r="H150" s="30">
        <v>87.44</v>
      </c>
      <c r="I150" s="30">
        <v>0.03</v>
      </c>
      <c r="J150" s="30">
        <v>32.450000000000003</v>
      </c>
      <c r="K150" s="30">
        <v>0</v>
      </c>
      <c r="L150" s="30">
        <v>2.31</v>
      </c>
      <c r="M150" s="30">
        <v>37.369999999999997</v>
      </c>
      <c r="N150" s="30">
        <v>27.61</v>
      </c>
      <c r="O150" s="30">
        <v>15.16</v>
      </c>
      <c r="P150" s="30">
        <v>0.51</v>
      </c>
    </row>
    <row r="151" spans="1:16" ht="24" customHeight="1">
      <c r="B151" s="61" t="s">
        <v>198</v>
      </c>
      <c r="C151" s="71" t="s">
        <v>128</v>
      </c>
      <c r="D151" s="118">
        <v>250</v>
      </c>
      <c r="E151" s="30">
        <v>12.75</v>
      </c>
      <c r="F151" s="30">
        <v>14</v>
      </c>
      <c r="G151" s="30">
        <v>37.5</v>
      </c>
      <c r="H151" s="30">
        <v>327.00000000000006</v>
      </c>
      <c r="I151" s="30">
        <v>0</v>
      </c>
      <c r="J151" s="30">
        <v>0.25</v>
      </c>
      <c r="K151" s="30">
        <v>16</v>
      </c>
      <c r="L151" s="30">
        <v>0.75</v>
      </c>
      <c r="M151" s="30">
        <v>51</v>
      </c>
      <c r="N151" s="30">
        <v>208.75</v>
      </c>
      <c r="O151" s="30">
        <v>57.5</v>
      </c>
      <c r="P151" s="30">
        <v>4</v>
      </c>
    </row>
    <row r="152" spans="1:16" ht="21.75" customHeight="1">
      <c r="A152" s="27">
        <v>5</v>
      </c>
      <c r="B152" s="61" t="s">
        <v>293</v>
      </c>
      <c r="C152" s="71" t="s">
        <v>294</v>
      </c>
      <c r="D152" s="118">
        <v>100</v>
      </c>
      <c r="E152" s="30">
        <v>14.1</v>
      </c>
      <c r="F152" s="30">
        <v>19.3</v>
      </c>
      <c r="G152" s="30">
        <v>9.6999999999999993</v>
      </c>
      <c r="H152" s="30">
        <v>277</v>
      </c>
      <c r="I152" s="30">
        <v>0</v>
      </c>
      <c r="J152" s="30">
        <v>0.1</v>
      </c>
      <c r="K152" s="30">
        <v>0</v>
      </c>
      <c r="L152" s="30">
        <v>3.4</v>
      </c>
      <c r="M152" s="30">
        <v>18.399999999999999</v>
      </c>
      <c r="N152" s="30">
        <v>15.1</v>
      </c>
      <c r="O152" s="30">
        <v>127.6</v>
      </c>
      <c r="P152" s="30">
        <v>1.4</v>
      </c>
    </row>
    <row r="153" spans="1:16" s="68" customFormat="1" ht="21.75" customHeight="1">
      <c r="B153" s="61" t="s">
        <v>300</v>
      </c>
      <c r="C153" s="71" t="s">
        <v>301</v>
      </c>
      <c r="D153" s="130" t="s">
        <v>316</v>
      </c>
      <c r="E153" s="131">
        <v>35</v>
      </c>
      <c r="F153" s="131">
        <v>7</v>
      </c>
      <c r="G153" s="131">
        <v>3.3</v>
      </c>
      <c r="H153" s="131">
        <v>224</v>
      </c>
      <c r="I153" s="131">
        <v>0.2</v>
      </c>
      <c r="J153" s="131">
        <v>13</v>
      </c>
      <c r="K153" s="131">
        <v>0</v>
      </c>
      <c r="L153" s="131">
        <v>2.7</v>
      </c>
      <c r="M153" s="131">
        <v>36</v>
      </c>
      <c r="N153" s="131">
        <v>305</v>
      </c>
      <c r="O153" s="131">
        <v>152.4</v>
      </c>
      <c r="P153" s="131">
        <v>2.7</v>
      </c>
    </row>
    <row r="154" spans="1:16" s="68" customFormat="1" ht="21.75" customHeight="1">
      <c r="B154" s="117"/>
      <c r="C154" s="71" t="s">
        <v>171</v>
      </c>
      <c r="D154" s="118"/>
      <c r="E154" s="64">
        <f>SUM(E152:E153)/2</f>
        <v>24.55</v>
      </c>
      <c r="F154" s="64">
        <f t="shared" ref="F154:P154" si="45">SUM(F152:F153)/2</f>
        <v>13.15</v>
      </c>
      <c r="G154" s="64">
        <f t="shared" si="45"/>
        <v>6.5</v>
      </c>
      <c r="H154" s="64">
        <f t="shared" si="45"/>
        <v>250.5</v>
      </c>
      <c r="I154" s="64">
        <f t="shared" si="45"/>
        <v>0.1</v>
      </c>
      <c r="J154" s="64">
        <f t="shared" si="45"/>
        <v>6.55</v>
      </c>
      <c r="K154" s="64">
        <f t="shared" si="45"/>
        <v>0</v>
      </c>
      <c r="L154" s="64">
        <f t="shared" si="45"/>
        <v>3.05</v>
      </c>
      <c r="M154" s="64">
        <f t="shared" si="45"/>
        <v>27.2</v>
      </c>
      <c r="N154" s="64">
        <f t="shared" si="45"/>
        <v>160.05000000000001</v>
      </c>
      <c r="O154" s="64">
        <f t="shared" si="45"/>
        <v>140</v>
      </c>
      <c r="P154" s="64">
        <f t="shared" si="45"/>
        <v>2.0499999999999998</v>
      </c>
    </row>
    <row r="155" spans="1:16" ht="21" customHeight="1">
      <c r="A155" s="27">
        <v>5</v>
      </c>
      <c r="B155" s="43" t="s">
        <v>295</v>
      </c>
      <c r="C155" s="50" t="s">
        <v>296</v>
      </c>
      <c r="D155" s="49">
        <v>180</v>
      </c>
      <c r="E155" s="30">
        <v>6.6239999999999997</v>
      </c>
      <c r="F155" s="30">
        <v>5.4179999999999993</v>
      </c>
      <c r="G155" s="30">
        <v>28.134</v>
      </c>
      <c r="H155" s="30">
        <v>249.858</v>
      </c>
      <c r="I155" s="30">
        <v>7.2000000000000008E-2</v>
      </c>
      <c r="J155" s="30">
        <v>0</v>
      </c>
      <c r="K155" s="30">
        <v>0.18</v>
      </c>
      <c r="L155" s="30">
        <v>1.17</v>
      </c>
      <c r="M155" s="30">
        <v>5.8320000000000007</v>
      </c>
      <c r="N155" s="30">
        <v>44.604000000000006</v>
      </c>
      <c r="O155" s="30">
        <v>25.344000000000001</v>
      </c>
      <c r="P155" s="30">
        <v>1.3319999999999999</v>
      </c>
    </row>
    <row r="156" spans="1:16" ht="20.25" customHeight="1">
      <c r="A156" s="27">
        <v>5</v>
      </c>
      <c r="B156" s="115" t="s">
        <v>172</v>
      </c>
      <c r="C156" s="71" t="s">
        <v>51</v>
      </c>
      <c r="D156" s="116">
        <v>200</v>
      </c>
      <c r="E156" s="30">
        <v>0.16</v>
      </c>
      <c r="F156" s="30">
        <v>0.16</v>
      </c>
      <c r="G156" s="30">
        <v>19.88</v>
      </c>
      <c r="H156" s="30">
        <v>81.599999999999994</v>
      </c>
      <c r="I156" s="30">
        <v>0.02</v>
      </c>
      <c r="J156" s="30">
        <v>0.9</v>
      </c>
      <c r="K156" s="30">
        <v>0</v>
      </c>
      <c r="L156" s="30">
        <v>0.08</v>
      </c>
      <c r="M156" s="30">
        <v>13.94</v>
      </c>
      <c r="N156" s="30">
        <v>4.4000000000000004</v>
      </c>
      <c r="O156" s="30">
        <v>5.14</v>
      </c>
      <c r="P156" s="30">
        <v>0.93600000000000005</v>
      </c>
    </row>
    <row r="157" spans="1:16" ht="20.25" customHeight="1">
      <c r="A157" s="27">
        <v>5</v>
      </c>
      <c r="B157" s="117" t="s">
        <v>182</v>
      </c>
      <c r="C157" s="71" t="s">
        <v>20</v>
      </c>
      <c r="D157" s="118">
        <v>40</v>
      </c>
      <c r="E157" s="30">
        <v>3.0666666666666664</v>
      </c>
      <c r="F157" s="30">
        <v>0.26666666666666672</v>
      </c>
      <c r="G157" s="30">
        <v>19.733333333333334</v>
      </c>
      <c r="H157" s="30">
        <v>94</v>
      </c>
      <c r="I157" s="30">
        <v>0</v>
      </c>
      <c r="J157" s="30">
        <v>0</v>
      </c>
      <c r="K157" s="30">
        <v>0</v>
      </c>
      <c r="L157" s="30">
        <v>0.4</v>
      </c>
      <c r="M157" s="30">
        <v>8</v>
      </c>
      <c r="N157" s="30">
        <v>26</v>
      </c>
      <c r="O157" s="30">
        <v>5.6000000000000014</v>
      </c>
      <c r="P157" s="30">
        <v>0.4</v>
      </c>
    </row>
    <row r="158" spans="1:16" ht="22.5" customHeight="1">
      <c r="A158" s="27">
        <v>5</v>
      </c>
      <c r="B158" s="117" t="s">
        <v>192</v>
      </c>
      <c r="C158" s="71" t="s">
        <v>21</v>
      </c>
      <c r="D158" s="118">
        <v>50</v>
      </c>
      <c r="E158" s="30">
        <v>3.25</v>
      </c>
      <c r="F158" s="30">
        <v>0.625</v>
      </c>
      <c r="G158" s="30">
        <v>19.75</v>
      </c>
      <c r="H158" s="30">
        <v>99</v>
      </c>
      <c r="I158" s="30">
        <v>0.125</v>
      </c>
      <c r="J158" s="30">
        <v>0</v>
      </c>
      <c r="K158" s="30">
        <v>0</v>
      </c>
      <c r="L158" s="30">
        <v>0.75</v>
      </c>
      <c r="M158" s="30">
        <v>14.499999999999998</v>
      </c>
      <c r="N158" s="30">
        <v>75</v>
      </c>
      <c r="O158" s="30">
        <v>23.5</v>
      </c>
      <c r="P158" s="30">
        <v>2</v>
      </c>
    </row>
    <row r="159" spans="1:16" ht="18" customHeight="1">
      <c r="A159" s="27">
        <v>5</v>
      </c>
      <c r="B159" s="119"/>
      <c r="C159" s="119" t="s">
        <v>18</v>
      </c>
      <c r="D159" s="120"/>
      <c r="E159" s="119">
        <f>SUM(E150+E151+E154+E155+E156+E157+E158)</f>
        <v>51.810666666666663</v>
      </c>
      <c r="F159" s="119">
        <f t="shared" ref="F159:P159" si="46">SUM(F150+F151+F154+F155+F156+F157+F158)</f>
        <v>38.699666666666658</v>
      </c>
      <c r="G159" s="119">
        <f t="shared" si="46"/>
        <v>140.51733333333334</v>
      </c>
      <c r="H159" s="119">
        <f t="shared" si="46"/>
        <v>1189.3980000000001</v>
      </c>
      <c r="I159" s="119">
        <f t="shared" si="46"/>
        <v>0.34699999999999998</v>
      </c>
      <c r="J159" s="119">
        <f t="shared" si="46"/>
        <v>40.15</v>
      </c>
      <c r="K159" s="119">
        <f t="shared" si="46"/>
        <v>16.18</v>
      </c>
      <c r="L159" s="119">
        <f t="shared" si="46"/>
        <v>8.51</v>
      </c>
      <c r="M159" s="119">
        <f t="shared" si="46"/>
        <v>157.84200000000001</v>
      </c>
      <c r="N159" s="119">
        <f t="shared" si="46"/>
        <v>546.41399999999999</v>
      </c>
      <c r="O159" s="119">
        <f t="shared" si="46"/>
        <v>272.24399999999997</v>
      </c>
      <c r="P159" s="119">
        <f t="shared" si="46"/>
        <v>11.228</v>
      </c>
    </row>
    <row r="160" spans="1:16" ht="20.25" customHeight="1">
      <c r="A160" s="27">
        <v>5</v>
      </c>
      <c r="B160" s="136" t="s">
        <v>22</v>
      </c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</row>
    <row r="161" spans="1:16" ht="36" customHeight="1">
      <c r="A161" s="27">
        <v>5</v>
      </c>
      <c r="B161" s="66" t="s">
        <v>199</v>
      </c>
      <c r="C161" s="37" t="s">
        <v>243</v>
      </c>
      <c r="D161" s="67">
        <v>100</v>
      </c>
      <c r="E161" s="30">
        <v>12.88</v>
      </c>
      <c r="F161" s="30">
        <v>12.86</v>
      </c>
      <c r="G161" s="30">
        <v>16.38</v>
      </c>
      <c r="H161" s="30">
        <v>236.94</v>
      </c>
      <c r="I161" s="30">
        <v>7.0000000000000007E-2</v>
      </c>
      <c r="J161" s="30">
        <v>3.27</v>
      </c>
      <c r="K161" s="30">
        <v>0.82499999999999996</v>
      </c>
      <c r="L161" s="30">
        <v>0.81</v>
      </c>
      <c r="M161" s="30">
        <v>236.22</v>
      </c>
      <c r="N161" s="30">
        <v>21.05</v>
      </c>
      <c r="O161" s="30">
        <v>192.82</v>
      </c>
      <c r="P161" s="30">
        <v>1.19</v>
      </c>
    </row>
    <row r="162" spans="1:16" ht="19.5" customHeight="1">
      <c r="A162" s="27">
        <v>5</v>
      </c>
      <c r="B162" s="66" t="s">
        <v>189</v>
      </c>
      <c r="C162" s="37" t="s">
        <v>230</v>
      </c>
      <c r="D162" s="67">
        <v>200</v>
      </c>
      <c r="E162" s="30">
        <v>0</v>
      </c>
      <c r="F162" s="30">
        <v>0.02</v>
      </c>
      <c r="G162" s="30">
        <v>15.08</v>
      </c>
      <c r="H162" s="30">
        <v>60.4</v>
      </c>
      <c r="I162" s="30">
        <v>0.02</v>
      </c>
      <c r="J162" s="30">
        <v>0.18</v>
      </c>
      <c r="K162" s="30">
        <v>0.02</v>
      </c>
      <c r="L162" s="30">
        <v>0</v>
      </c>
      <c r="M162" s="30">
        <v>0.46</v>
      </c>
      <c r="N162" s="30">
        <v>0</v>
      </c>
      <c r="O162" s="30">
        <v>0.02</v>
      </c>
      <c r="P162" s="30">
        <v>0.26</v>
      </c>
    </row>
    <row r="163" spans="1:16" ht="19.5" customHeight="1">
      <c r="A163" s="27">
        <v>5</v>
      </c>
      <c r="B163" s="119"/>
      <c r="C163" s="119" t="s">
        <v>18</v>
      </c>
      <c r="D163" s="120"/>
      <c r="E163" s="119">
        <f>SUM(E161:E162)</f>
        <v>12.88</v>
      </c>
      <c r="F163" s="119">
        <f t="shared" ref="F163:P163" si="47">SUM(F161:F162)</f>
        <v>12.879999999999999</v>
      </c>
      <c r="G163" s="119">
        <f t="shared" si="47"/>
        <v>31.46</v>
      </c>
      <c r="H163" s="119">
        <f t="shared" si="47"/>
        <v>297.33999999999997</v>
      </c>
      <c r="I163" s="119">
        <f t="shared" si="47"/>
        <v>9.0000000000000011E-2</v>
      </c>
      <c r="J163" s="119">
        <f t="shared" si="47"/>
        <v>3.45</v>
      </c>
      <c r="K163" s="119">
        <f t="shared" si="47"/>
        <v>0.84499999999999997</v>
      </c>
      <c r="L163" s="119">
        <f t="shared" si="47"/>
        <v>0.81</v>
      </c>
      <c r="M163" s="119">
        <f t="shared" si="47"/>
        <v>236.68</v>
      </c>
      <c r="N163" s="119">
        <f t="shared" si="47"/>
        <v>21.05</v>
      </c>
      <c r="O163" s="119">
        <f t="shared" si="47"/>
        <v>192.84</v>
      </c>
      <c r="P163" s="119">
        <f t="shared" si="47"/>
        <v>1.45</v>
      </c>
    </row>
    <row r="164" spans="1:16" ht="20.100000000000001" customHeight="1">
      <c r="A164" s="27">
        <v>5</v>
      </c>
      <c r="B164" s="66"/>
      <c r="C164" s="66" t="s">
        <v>30</v>
      </c>
      <c r="D164" s="67"/>
      <c r="E164" s="66">
        <f>SUM(E148+E159+E163)</f>
        <v>96.00066666666666</v>
      </c>
      <c r="F164" s="115">
        <f t="shared" ref="F164:P164" si="48">SUM(F148+F159+F163)</f>
        <v>85.964666666666659</v>
      </c>
      <c r="G164" s="115">
        <f t="shared" si="48"/>
        <v>265.82533333333333</v>
      </c>
      <c r="H164" s="115">
        <f t="shared" si="48"/>
        <v>2365.2380000000003</v>
      </c>
      <c r="I164" s="115">
        <f t="shared" si="48"/>
        <v>0.83</v>
      </c>
      <c r="J164" s="115">
        <f t="shared" si="48"/>
        <v>66.98</v>
      </c>
      <c r="K164" s="115">
        <f t="shared" si="48"/>
        <v>17.212999999999997</v>
      </c>
      <c r="L164" s="115">
        <f t="shared" si="48"/>
        <v>17.167999999999996</v>
      </c>
      <c r="M164" s="115">
        <f t="shared" si="48"/>
        <v>1114.2819999999999</v>
      </c>
      <c r="N164" s="115">
        <f t="shared" si="48"/>
        <v>1287.0039999999999</v>
      </c>
      <c r="O164" s="115">
        <f t="shared" si="48"/>
        <v>596.09399999999994</v>
      </c>
      <c r="P164" s="115">
        <f t="shared" si="48"/>
        <v>16.09</v>
      </c>
    </row>
    <row r="165" spans="1:16" s="36" customFormat="1" ht="20.100000000000001" customHeight="1">
      <c r="B165" s="41"/>
      <c r="C165" s="41"/>
      <c r="D165" s="46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1:16" s="36" customFormat="1" ht="20.100000000000001" customHeight="1">
      <c r="B166" s="39" t="s">
        <v>121</v>
      </c>
      <c r="C166" s="38"/>
      <c r="D166" s="46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</row>
    <row r="167" spans="1:16" s="36" customFormat="1" ht="20.100000000000001" customHeight="1">
      <c r="B167" s="39" t="s">
        <v>122</v>
      </c>
      <c r="C167" s="38"/>
      <c r="D167" s="46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</row>
    <row r="168" spans="1:16" s="36" customFormat="1" ht="20.100000000000001" customHeight="1">
      <c r="B168" s="39" t="s">
        <v>115</v>
      </c>
      <c r="C168" s="38"/>
      <c r="D168" s="46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</row>
    <row r="169" spans="1:16" s="36" customFormat="1" ht="20.100000000000001" customHeight="1">
      <c r="B169" s="41"/>
      <c r="C169" s="41"/>
      <c r="D169" s="46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</row>
    <row r="170" spans="1:16" s="36" customFormat="1" ht="37.5" customHeight="1">
      <c r="B170" s="137" t="s">
        <v>0</v>
      </c>
      <c r="C170" s="137" t="s">
        <v>1</v>
      </c>
      <c r="D170" s="138" t="s">
        <v>2</v>
      </c>
      <c r="E170" s="136" t="s">
        <v>3</v>
      </c>
      <c r="F170" s="136"/>
      <c r="G170" s="136"/>
      <c r="H170" s="136" t="s">
        <v>4</v>
      </c>
      <c r="I170" s="136" t="s">
        <v>5</v>
      </c>
      <c r="J170" s="136"/>
      <c r="K170" s="136"/>
      <c r="L170" s="136"/>
      <c r="M170" s="136" t="s">
        <v>6</v>
      </c>
      <c r="N170" s="136"/>
      <c r="O170" s="136"/>
      <c r="P170" s="136"/>
    </row>
    <row r="171" spans="1:16" s="36" customFormat="1" ht="33" customHeight="1">
      <c r="B171" s="137"/>
      <c r="C171" s="137"/>
      <c r="D171" s="138"/>
      <c r="E171" s="66" t="s">
        <v>7</v>
      </c>
      <c r="F171" s="66" t="s">
        <v>8</v>
      </c>
      <c r="G171" s="66" t="s">
        <v>9</v>
      </c>
      <c r="H171" s="136"/>
      <c r="I171" s="66" t="s">
        <v>116</v>
      </c>
      <c r="J171" s="66" t="s">
        <v>10</v>
      </c>
      <c r="K171" s="66" t="s">
        <v>11</v>
      </c>
      <c r="L171" s="66" t="s">
        <v>12</v>
      </c>
      <c r="M171" s="66" t="s">
        <v>13</v>
      </c>
      <c r="N171" s="66" t="s">
        <v>14</v>
      </c>
      <c r="O171" s="66" t="s">
        <v>15</v>
      </c>
      <c r="P171" s="66" t="s">
        <v>16</v>
      </c>
    </row>
    <row r="172" spans="1:16" ht="16.149999999999999" customHeight="1">
      <c r="A172" s="27">
        <v>6</v>
      </c>
      <c r="B172" s="136" t="s">
        <v>17</v>
      </c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</row>
    <row r="173" spans="1:16" ht="40.5" customHeight="1">
      <c r="A173" s="27">
        <v>6</v>
      </c>
      <c r="B173" s="127" t="s">
        <v>212</v>
      </c>
      <c r="C173" s="71" t="s">
        <v>231</v>
      </c>
      <c r="D173" s="128" t="s">
        <v>305</v>
      </c>
      <c r="E173" s="69">
        <v>6</v>
      </c>
      <c r="F173" s="69">
        <v>6.3</v>
      </c>
      <c r="G173" s="69">
        <v>21.45</v>
      </c>
      <c r="H173" s="69">
        <v>157.94999999999999</v>
      </c>
      <c r="I173" s="69">
        <v>0.13500000000000001</v>
      </c>
      <c r="J173" s="69">
        <v>0.69</v>
      </c>
      <c r="K173" s="69">
        <v>0.03</v>
      </c>
      <c r="L173" s="69">
        <v>0.45</v>
      </c>
      <c r="M173" s="69">
        <v>106.8</v>
      </c>
      <c r="N173" s="69">
        <v>167.85</v>
      </c>
      <c r="O173" s="69">
        <v>50.55</v>
      </c>
      <c r="P173" s="69">
        <v>1.2</v>
      </c>
    </row>
    <row r="174" spans="1:16" ht="21.6" customHeight="1">
      <c r="A174" s="27">
        <v>6</v>
      </c>
      <c r="B174" s="132" t="s">
        <v>197</v>
      </c>
      <c r="C174" s="71" t="s">
        <v>214</v>
      </c>
      <c r="D174" s="128">
        <v>200</v>
      </c>
      <c r="E174" s="69">
        <v>7</v>
      </c>
      <c r="F174" s="69">
        <v>16.600000000000001</v>
      </c>
      <c r="G174" s="69">
        <v>98</v>
      </c>
      <c r="H174" s="69">
        <v>460</v>
      </c>
      <c r="I174" s="69">
        <v>0.26</v>
      </c>
      <c r="J174" s="69">
        <v>0</v>
      </c>
      <c r="K174" s="69">
        <v>0</v>
      </c>
      <c r="L174" s="69">
        <v>3.4</v>
      </c>
      <c r="M174" s="69">
        <v>14</v>
      </c>
      <c r="N174" s="69">
        <v>126</v>
      </c>
      <c r="O174" s="69">
        <v>50</v>
      </c>
      <c r="P174" s="69">
        <v>2.8</v>
      </c>
    </row>
    <row r="175" spans="1:16" ht="21.75" customHeight="1">
      <c r="A175" s="27">
        <v>6</v>
      </c>
      <c r="B175" s="62"/>
      <c r="C175" s="37" t="s">
        <v>158</v>
      </c>
      <c r="D175" s="67">
        <v>100</v>
      </c>
      <c r="E175" s="69">
        <v>5.8</v>
      </c>
      <c r="F175" s="69">
        <v>5</v>
      </c>
      <c r="G175" s="69">
        <v>8</v>
      </c>
      <c r="H175" s="69">
        <v>100.2</v>
      </c>
      <c r="I175" s="69">
        <v>0.1</v>
      </c>
      <c r="J175" s="69">
        <v>1.4</v>
      </c>
      <c r="K175" s="69">
        <v>0.4</v>
      </c>
      <c r="L175" s="69">
        <v>0.1</v>
      </c>
      <c r="M175" s="69">
        <v>240</v>
      </c>
      <c r="N175" s="69">
        <v>165</v>
      </c>
      <c r="O175" s="69">
        <v>28</v>
      </c>
      <c r="P175" s="69">
        <v>0.2</v>
      </c>
    </row>
    <row r="176" spans="1:16" ht="20.100000000000001" customHeight="1">
      <c r="B176" s="62"/>
      <c r="C176" s="37" t="s">
        <v>26</v>
      </c>
      <c r="D176" s="67" t="s">
        <v>132</v>
      </c>
      <c r="E176" s="69">
        <v>0.08</v>
      </c>
      <c r="F176" s="69">
        <v>0.02</v>
      </c>
      <c r="G176" s="69">
        <v>15</v>
      </c>
      <c r="H176" s="69">
        <v>60.5</v>
      </c>
      <c r="I176" s="69">
        <v>0</v>
      </c>
      <c r="J176" s="69">
        <v>0</v>
      </c>
      <c r="K176" s="69">
        <v>0.04</v>
      </c>
      <c r="L176" s="69">
        <v>0</v>
      </c>
      <c r="M176" s="69">
        <v>11.1</v>
      </c>
      <c r="N176" s="69">
        <v>1.4</v>
      </c>
      <c r="O176" s="69">
        <v>2.8</v>
      </c>
      <c r="P176" s="69">
        <v>0.28000000000000003</v>
      </c>
    </row>
    <row r="177" spans="1:16" ht="17.45" customHeight="1">
      <c r="A177" s="27">
        <v>6</v>
      </c>
      <c r="B177" s="119"/>
      <c r="C177" s="119" t="s">
        <v>18</v>
      </c>
      <c r="D177" s="124"/>
      <c r="E177" s="119">
        <f>SUM(E173:E176)</f>
        <v>18.88</v>
      </c>
      <c r="F177" s="119">
        <f t="shared" ref="F177:P177" si="49">SUM(F173:F176)</f>
        <v>27.92</v>
      </c>
      <c r="G177" s="119">
        <f t="shared" si="49"/>
        <v>142.44999999999999</v>
      </c>
      <c r="H177" s="119">
        <f t="shared" si="49"/>
        <v>778.65000000000009</v>
      </c>
      <c r="I177" s="119">
        <f t="shared" si="49"/>
        <v>0.495</v>
      </c>
      <c r="J177" s="119">
        <f t="shared" si="49"/>
        <v>2.09</v>
      </c>
      <c r="K177" s="119">
        <f t="shared" si="49"/>
        <v>0.47000000000000003</v>
      </c>
      <c r="L177" s="119">
        <f t="shared" si="49"/>
        <v>3.95</v>
      </c>
      <c r="M177" s="119">
        <f t="shared" si="49"/>
        <v>371.90000000000003</v>
      </c>
      <c r="N177" s="119">
        <f t="shared" si="49"/>
        <v>460.25</v>
      </c>
      <c r="O177" s="119">
        <f t="shared" si="49"/>
        <v>131.35000000000002</v>
      </c>
      <c r="P177" s="119">
        <f t="shared" si="49"/>
        <v>4.4800000000000004</v>
      </c>
    </row>
    <row r="178" spans="1:16" ht="18" customHeight="1">
      <c r="A178" s="27">
        <v>6</v>
      </c>
      <c r="B178" s="140" t="s">
        <v>19</v>
      </c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</row>
    <row r="179" spans="1:16" ht="20.100000000000001" customHeight="1">
      <c r="A179" s="27">
        <v>6</v>
      </c>
      <c r="B179" s="61" t="s">
        <v>200</v>
      </c>
      <c r="C179" s="71" t="s">
        <v>221</v>
      </c>
      <c r="D179" s="128">
        <v>100</v>
      </c>
      <c r="E179" s="30">
        <v>0.8</v>
      </c>
      <c r="F179" s="30">
        <v>0.1</v>
      </c>
      <c r="G179" s="30">
        <v>2.5</v>
      </c>
      <c r="H179" s="30">
        <v>14.1</v>
      </c>
      <c r="I179" s="30">
        <v>0</v>
      </c>
      <c r="J179" s="30">
        <v>10</v>
      </c>
      <c r="K179" s="30">
        <v>0</v>
      </c>
      <c r="L179" s="30">
        <v>0</v>
      </c>
      <c r="M179" s="30">
        <v>23.3</v>
      </c>
      <c r="N179" s="30">
        <v>41.6</v>
      </c>
      <c r="O179" s="30">
        <v>14</v>
      </c>
      <c r="P179" s="30">
        <v>0.6</v>
      </c>
    </row>
    <row r="180" spans="1:16" ht="18" customHeight="1">
      <c r="B180" s="61" t="s">
        <v>190</v>
      </c>
      <c r="C180" s="71" t="s">
        <v>222</v>
      </c>
      <c r="D180" s="128">
        <v>100</v>
      </c>
      <c r="E180" s="30">
        <v>0.8</v>
      </c>
      <c r="F180" s="30">
        <v>0.1</v>
      </c>
      <c r="G180" s="30">
        <v>1.7</v>
      </c>
      <c r="H180" s="30">
        <v>10.9</v>
      </c>
      <c r="I180" s="30">
        <v>0.02</v>
      </c>
      <c r="J180" s="30">
        <v>5</v>
      </c>
      <c r="K180" s="30">
        <v>0</v>
      </c>
      <c r="L180" s="30">
        <v>0.1</v>
      </c>
      <c r="M180" s="30">
        <v>23</v>
      </c>
      <c r="N180" s="30">
        <v>24</v>
      </c>
      <c r="O180" s="30">
        <v>14</v>
      </c>
      <c r="P180" s="30">
        <v>0.6</v>
      </c>
    </row>
    <row r="181" spans="1:16" ht="20.25" customHeight="1">
      <c r="B181" s="63"/>
      <c r="C181" s="50" t="s">
        <v>55</v>
      </c>
      <c r="D181" s="49"/>
      <c r="E181" s="30">
        <f>SUM(E179:E180)/2</f>
        <v>0.8</v>
      </c>
      <c r="F181" s="30">
        <f t="shared" ref="F181:P181" si="50">SUM(F179:F180)/2</f>
        <v>0.1</v>
      </c>
      <c r="G181" s="30">
        <f t="shared" si="50"/>
        <v>2.1</v>
      </c>
      <c r="H181" s="30">
        <f t="shared" si="50"/>
        <v>12.5</v>
      </c>
      <c r="I181" s="30">
        <f t="shared" si="50"/>
        <v>0.01</v>
      </c>
      <c r="J181" s="30">
        <f t="shared" si="50"/>
        <v>7.5</v>
      </c>
      <c r="K181" s="30">
        <f t="shared" si="50"/>
        <v>0</v>
      </c>
      <c r="L181" s="30">
        <f t="shared" si="50"/>
        <v>0.05</v>
      </c>
      <c r="M181" s="30">
        <f t="shared" si="50"/>
        <v>23.15</v>
      </c>
      <c r="N181" s="30">
        <f t="shared" si="50"/>
        <v>32.799999999999997</v>
      </c>
      <c r="O181" s="30">
        <f t="shared" si="50"/>
        <v>14</v>
      </c>
      <c r="P181" s="30">
        <f t="shared" si="50"/>
        <v>0.6</v>
      </c>
    </row>
    <row r="182" spans="1:16" ht="20.100000000000001" customHeight="1">
      <c r="B182" s="43" t="s">
        <v>170</v>
      </c>
      <c r="C182" s="50" t="s">
        <v>50</v>
      </c>
      <c r="D182" s="49">
        <v>250</v>
      </c>
      <c r="E182" s="30">
        <v>5.4749999999999996</v>
      </c>
      <c r="F182" s="30">
        <v>5.2699999999999987</v>
      </c>
      <c r="G182" s="30">
        <v>16.535</v>
      </c>
      <c r="H182" s="30">
        <v>135.47</v>
      </c>
      <c r="I182" s="30">
        <v>0</v>
      </c>
      <c r="J182" s="30">
        <v>0.22750000000000001</v>
      </c>
      <c r="K182" s="30">
        <v>5.8250000000000002</v>
      </c>
      <c r="L182" s="30">
        <v>2.4249999999999998</v>
      </c>
      <c r="M182" s="30">
        <v>42.674999999999997</v>
      </c>
      <c r="N182" s="30">
        <v>35.575000000000003</v>
      </c>
      <c r="O182" s="30">
        <v>88.09999999999998</v>
      </c>
      <c r="P182" s="30">
        <v>2.0499999999999998</v>
      </c>
    </row>
    <row r="183" spans="1:16" ht="18" customHeight="1">
      <c r="B183" s="43" t="s">
        <v>317</v>
      </c>
      <c r="C183" s="50" t="s">
        <v>161</v>
      </c>
      <c r="D183" s="49" t="s">
        <v>318</v>
      </c>
      <c r="E183" s="30">
        <v>10.8</v>
      </c>
      <c r="F183" s="30">
        <v>17.64</v>
      </c>
      <c r="G183" s="30">
        <v>23.76</v>
      </c>
      <c r="H183" s="30">
        <v>273.20400000000001</v>
      </c>
      <c r="I183" s="30">
        <v>0</v>
      </c>
      <c r="J183" s="30">
        <v>0.54</v>
      </c>
      <c r="K183" s="30">
        <v>1.62</v>
      </c>
      <c r="L183" s="30">
        <v>3.24</v>
      </c>
      <c r="M183" s="30">
        <v>14.940000000000003</v>
      </c>
      <c r="N183" s="30">
        <v>47.52</v>
      </c>
      <c r="O183" s="30">
        <v>209.52</v>
      </c>
      <c r="P183" s="30">
        <v>2.16</v>
      </c>
    </row>
    <row r="184" spans="1:16" ht="18" customHeight="1">
      <c r="A184" s="27">
        <v>6</v>
      </c>
      <c r="B184" s="63" t="s">
        <v>181</v>
      </c>
      <c r="C184" s="50" t="s">
        <v>58</v>
      </c>
      <c r="D184" s="49">
        <v>200</v>
      </c>
      <c r="E184" s="30">
        <v>0.28000000000000003</v>
      </c>
      <c r="F184" s="30">
        <v>0.1</v>
      </c>
      <c r="G184" s="30">
        <v>28.88</v>
      </c>
      <c r="H184" s="30">
        <v>117.54</v>
      </c>
      <c r="I184" s="30">
        <v>0</v>
      </c>
      <c r="J184" s="30">
        <v>19.3</v>
      </c>
      <c r="K184" s="30">
        <v>0</v>
      </c>
      <c r="L184" s="30">
        <v>0.16</v>
      </c>
      <c r="M184" s="30">
        <v>13.66</v>
      </c>
      <c r="N184" s="30">
        <v>7.38</v>
      </c>
      <c r="O184" s="30">
        <v>5.78</v>
      </c>
      <c r="P184" s="30">
        <v>0.46800000000000003</v>
      </c>
    </row>
    <row r="185" spans="1:16" ht="19.5" customHeight="1">
      <c r="A185" s="27">
        <v>6</v>
      </c>
      <c r="B185" s="43" t="s">
        <v>182</v>
      </c>
      <c r="C185" s="50" t="s">
        <v>20</v>
      </c>
      <c r="D185" s="49">
        <v>40</v>
      </c>
      <c r="E185" s="30">
        <v>3.0666666666666664</v>
      </c>
      <c r="F185" s="30">
        <v>0.26666666666666672</v>
      </c>
      <c r="G185" s="30">
        <v>19.733333333333334</v>
      </c>
      <c r="H185" s="30">
        <v>93.6</v>
      </c>
      <c r="I185" s="30">
        <v>0</v>
      </c>
      <c r="J185" s="30">
        <v>0</v>
      </c>
      <c r="K185" s="30">
        <v>0</v>
      </c>
      <c r="L185" s="30">
        <v>0.4</v>
      </c>
      <c r="M185" s="30">
        <v>8</v>
      </c>
      <c r="N185" s="30">
        <v>26</v>
      </c>
      <c r="O185" s="30">
        <v>5.6000000000000014</v>
      </c>
      <c r="P185" s="30">
        <v>0.4</v>
      </c>
    </row>
    <row r="186" spans="1:16" ht="20.100000000000001" customHeight="1">
      <c r="A186" s="27">
        <v>6</v>
      </c>
      <c r="B186" s="43" t="s">
        <v>192</v>
      </c>
      <c r="C186" s="50" t="s">
        <v>21</v>
      </c>
      <c r="D186" s="49">
        <v>50</v>
      </c>
      <c r="E186" s="30">
        <v>3.25</v>
      </c>
      <c r="F186" s="30">
        <v>0.625</v>
      </c>
      <c r="G186" s="30">
        <v>19.75</v>
      </c>
      <c r="H186" s="30">
        <v>97.625</v>
      </c>
      <c r="I186" s="30">
        <v>0.125</v>
      </c>
      <c r="J186" s="30">
        <v>0</v>
      </c>
      <c r="K186" s="30">
        <v>0</v>
      </c>
      <c r="L186" s="30">
        <v>0.75</v>
      </c>
      <c r="M186" s="30">
        <v>14.499999999999998</v>
      </c>
      <c r="N186" s="30">
        <v>75</v>
      </c>
      <c r="O186" s="30">
        <v>23.5</v>
      </c>
      <c r="P186" s="30">
        <v>2</v>
      </c>
    </row>
    <row r="187" spans="1:16" ht="20.100000000000001" hidden="1" customHeight="1">
      <c r="A187" s="27">
        <v>6</v>
      </c>
      <c r="B187" s="43"/>
      <c r="C187" s="43"/>
      <c r="D187" s="43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</row>
    <row r="188" spans="1:16" ht="20.100000000000001" hidden="1" customHeight="1">
      <c r="A188" s="27">
        <v>6</v>
      </c>
      <c r="B188" s="43"/>
      <c r="C188" s="43"/>
      <c r="D188" s="67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</row>
    <row r="189" spans="1:16" ht="20.100000000000001" hidden="1" customHeight="1">
      <c r="A189" s="27">
        <v>6</v>
      </c>
      <c r="B189" s="66"/>
      <c r="C189" s="40"/>
      <c r="D189" s="67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</row>
    <row r="190" spans="1:16" ht="17.45" customHeight="1">
      <c r="A190" s="27">
        <v>6</v>
      </c>
      <c r="B190" s="119"/>
      <c r="C190" s="119" t="s">
        <v>18</v>
      </c>
      <c r="D190" s="120"/>
      <c r="E190" s="119">
        <f>SUM(E181:E189)</f>
        <v>23.671666666666667</v>
      </c>
      <c r="F190" s="119">
        <f t="shared" ref="F190:P190" si="51">SUM(F181:F189)</f>
        <v>24.001666666666665</v>
      </c>
      <c r="G190" s="119">
        <f t="shared" si="51"/>
        <v>110.75833333333334</v>
      </c>
      <c r="H190" s="119">
        <f t="shared" si="51"/>
        <v>729.93899999999996</v>
      </c>
      <c r="I190" s="119">
        <f t="shared" si="51"/>
        <v>0.13500000000000001</v>
      </c>
      <c r="J190" s="119">
        <f t="shared" si="51"/>
        <v>27.567500000000003</v>
      </c>
      <c r="K190" s="119">
        <f t="shared" si="51"/>
        <v>7.4450000000000003</v>
      </c>
      <c r="L190" s="119">
        <f t="shared" si="51"/>
        <v>7.0250000000000004</v>
      </c>
      <c r="M190" s="119">
        <f t="shared" si="51"/>
        <v>116.92499999999998</v>
      </c>
      <c r="N190" s="119">
        <f t="shared" si="51"/>
        <v>224.27500000000001</v>
      </c>
      <c r="O190" s="119">
        <f t="shared" si="51"/>
        <v>346.5</v>
      </c>
      <c r="P190" s="119">
        <f t="shared" si="51"/>
        <v>7.6780000000000008</v>
      </c>
    </row>
    <row r="191" spans="1:16" ht="18.75" customHeight="1">
      <c r="A191" s="27">
        <v>6</v>
      </c>
      <c r="B191" s="136" t="s">
        <v>22</v>
      </c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</row>
    <row r="192" spans="1:16" ht="18.75" customHeight="1">
      <c r="A192" s="27">
        <v>6</v>
      </c>
      <c r="B192" s="127" t="s">
        <v>168</v>
      </c>
      <c r="C192" s="71" t="s">
        <v>52</v>
      </c>
      <c r="D192" s="128">
        <v>200</v>
      </c>
      <c r="E192" s="69">
        <v>14.55</v>
      </c>
      <c r="F192" s="69">
        <v>10.8</v>
      </c>
      <c r="G192" s="69">
        <v>4.6500000000000004</v>
      </c>
      <c r="H192" s="69">
        <v>174</v>
      </c>
      <c r="I192" s="69">
        <v>0.12</v>
      </c>
      <c r="J192" s="69">
        <v>0.6</v>
      </c>
      <c r="K192" s="69">
        <v>0.39</v>
      </c>
      <c r="L192" s="69">
        <v>0.75</v>
      </c>
      <c r="M192" s="69">
        <v>216</v>
      </c>
      <c r="N192" s="69">
        <v>403.5</v>
      </c>
      <c r="O192" s="69">
        <v>33</v>
      </c>
      <c r="P192" s="69">
        <v>4.2</v>
      </c>
    </row>
    <row r="193" spans="1:16" ht="19.5" customHeight="1">
      <c r="B193" s="73" t="s">
        <v>182</v>
      </c>
      <c r="C193" s="37" t="s">
        <v>20</v>
      </c>
      <c r="D193" s="67">
        <v>20</v>
      </c>
      <c r="E193" s="30">
        <v>1.5333333333333332</v>
      </c>
      <c r="F193" s="30">
        <v>0.13333333333333336</v>
      </c>
      <c r="G193" s="30">
        <v>9.8666666666666671</v>
      </c>
      <c r="H193" s="30">
        <v>46.8</v>
      </c>
      <c r="I193" s="30">
        <v>0</v>
      </c>
      <c r="J193" s="30">
        <v>0</v>
      </c>
      <c r="K193" s="30">
        <v>0</v>
      </c>
      <c r="L193" s="30">
        <v>0.2</v>
      </c>
      <c r="M193" s="30">
        <v>4</v>
      </c>
      <c r="N193" s="30">
        <v>13</v>
      </c>
      <c r="O193" s="30">
        <v>2.8000000000000007</v>
      </c>
      <c r="P193" s="30">
        <v>0.2</v>
      </c>
    </row>
    <row r="194" spans="1:16" ht="18.75" customHeight="1">
      <c r="B194" s="73" t="s">
        <v>181</v>
      </c>
      <c r="C194" s="71" t="s">
        <v>59</v>
      </c>
      <c r="D194" s="67">
        <v>200</v>
      </c>
      <c r="E194" s="30">
        <v>0.66</v>
      </c>
      <c r="F194" s="30">
        <v>0.1</v>
      </c>
      <c r="G194" s="30">
        <v>28.02</v>
      </c>
      <c r="H194" s="30">
        <v>109.48</v>
      </c>
      <c r="I194" s="30">
        <v>0</v>
      </c>
      <c r="J194" s="30">
        <v>0.02</v>
      </c>
      <c r="K194" s="30">
        <v>0.68</v>
      </c>
      <c r="L194" s="30">
        <v>0.5</v>
      </c>
      <c r="M194" s="30">
        <v>32.479999999999997</v>
      </c>
      <c r="N194" s="30">
        <v>17.46</v>
      </c>
      <c r="O194" s="30">
        <v>23.44</v>
      </c>
      <c r="P194" s="30">
        <v>0.7</v>
      </c>
    </row>
    <row r="195" spans="1:16" ht="16.5" customHeight="1">
      <c r="A195" s="27">
        <v>6</v>
      </c>
      <c r="B195" s="119"/>
      <c r="C195" s="119" t="s">
        <v>18</v>
      </c>
      <c r="D195" s="120"/>
      <c r="E195" s="119">
        <f>SUM(E192:E194)</f>
        <v>16.743333333333336</v>
      </c>
      <c r="F195" s="119">
        <f t="shared" ref="F195:P195" si="52">SUM(F192:F194)</f>
        <v>11.033333333333333</v>
      </c>
      <c r="G195" s="119">
        <f t="shared" si="52"/>
        <v>42.536666666666669</v>
      </c>
      <c r="H195" s="119">
        <f t="shared" si="52"/>
        <v>330.28000000000003</v>
      </c>
      <c r="I195" s="119">
        <f t="shared" si="52"/>
        <v>0.12</v>
      </c>
      <c r="J195" s="119">
        <f t="shared" si="52"/>
        <v>0.62</v>
      </c>
      <c r="K195" s="119">
        <f t="shared" si="52"/>
        <v>1.07</v>
      </c>
      <c r="L195" s="119">
        <f t="shared" si="52"/>
        <v>1.45</v>
      </c>
      <c r="M195" s="119">
        <f t="shared" si="52"/>
        <v>252.48</v>
      </c>
      <c r="N195" s="119">
        <f t="shared" si="52"/>
        <v>433.96</v>
      </c>
      <c r="O195" s="119">
        <f t="shared" si="52"/>
        <v>59.239999999999995</v>
      </c>
      <c r="P195" s="119">
        <f t="shared" si="52"/>
        <v>5.1000000000000005</v>
      </c>
    </row>
    <row r="196" spans="1:16" ht="19.5" customHeight="1">
      <c r="A196" s="27">
        <v>6</v>
      </c>
      <c r="B196" s="66"/>
      <c r="C196" s="66" t="s">
        <v>31</v>
      </c>
      <c r="D196" s="67"/>
      <c r="E196" s="66">
        <v>51.243333333333332</v>
      </c>
      <c r="F196" s="86">
        <v>59.653333333333336</v>
      </c>
      <c r="G196" s="86">
        <v>254.49666666666667</v>
      </c>
      <c r="H196" s="86">
        <v>1646.97</v>
      </c>
      <c r="I196" s="86">
        <v>0.59499999999999997</v>
      </c>
      <c r="J196" s="86">
        <v>28.240000000000002</v>
      </c>
      <c r="K196" s="86">
        <v>8.34</v>
      </c>
      <c r="L196" s="86">
        <v>12.5</v>
      </c>
      <c r="M196" s="86">
        <v>633.45000000000005</v>
      </c>
      <c r="N196" s="86">
        <v>902.84999999999991</v>
      </c>
      <c r="O196" s="86">
        <v>543.73</v>
      </c>
      <c r="P196" s="86">
        <v>14.378</v>
      </c>
    </row>
    <row r="197" spans="1:16" s="36" customFormat="1" ht="20.100000000000001" customHeight="1">
      <c r="B197" s="41"/>
      <c r="C197" s="41"/>
      <c r="D197" s="46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</row>
    <row r="198" spans="1:16" s="36" customFormat="1" ht="20.100000000000001" customHeight="1">
      <c r="B198" s="39" t="s">
        <v>123</v>
      </c>
      <c r="C198" s="38"/>
      <c r="D198" s="46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1:16" s="36" customFormat="1" ht="20.100000000000001" customHeight="1">
      <c r="B199" s="39" t="s">
        <v>122</v>
      </c>
      <c r="C199" s="38"/>
      <c r="D199" s="46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1:16" s="36" customFormat="1" ht="20.100000000000001" customHeight="1">
      <c r="B200" s="39" t="s">
        <v>115</v>
      </c>
      <c r="C200" s="38"/>
      <c r="D200" s="46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1:16" s="36" customFormat="1" ht="42" customHeight="1">
      <c r="B201" s="137" t="s">
        <v>0</v>
      </c>
      <c r="C201" s="137" t="s">
        <v>1</v>
      </c>
      <c r="D201" s="138" t="s">
        <v>2</v>
      </c>
      <c r="E201" s="136" t="s">
        <v>3</v>
      </c>
      <c r="F201" s="136"/>
      <c r="G201" s="136"/>
      <c r="H201" s="136" t="s">
        <v>4</v>
      </c>
      <c r="I201" s="136" t="s">
        <v>5</v>
      </c>
      <c r="J201" s="136"/>
      <c r="K201" s="136"/>
      <c r="L201" s="136"/>
      <c r="M201" s="136" t="s">
        <v>6</v>
      </c>
      <c r="N201" s="136"/>
      <c r="O201" s="136"/>
      <c r="P201" s="136"/>
    </row>
    <row r="202" spans="1:16" s="36" customFormat="1" ht="27.6" customHeight="1">
      <c r="B202" s="137"/>
      <c r="C202" s="137"/>
      <c r="D202" s="138"/>
      <c r="E202" s="66" t="s">
        <v>7</v>
      </c>
      <c r="F202" s="66" t="s">
        <v>8</v>
      </c>
      <c r="G202" s="66" t="s">
        <v>9</v>
      </c>
      <c r="H202" s="136"/>
      <c r="I202" s="66" t="s">
        <v>116</v>
      </c>
      <c r="J202" s="66" t="s">
        <v>10</v>
      </c>
      <c r="K202" s="66" t="s">
        <v>11</v>
      </c>
      <c r="L202" s="66" t="s">
        <v>12</v>
      </c>
      <c r="M202" s="66" t="s">
        <v>13</v>
      </c>
      <c r="N202" s="66" t="s">
        <v>14</v>
      </c>
      <c r="O202" s="66" t="s">
        <v>15</v>
      </c>
      <c r="P202" s="66" t="s">
        <v>16</v>
      </c>
    </row>
    <row r="203" spans="1:16" ht="14.45" customHeight="1">
      <c r="A203" s="27">
        <v>7</v>
      </c>
      <c r="B203" s="136" t="s">
        <v>17</v>
      </c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</row>
    <row r="204" spans="1:16" ht="21.75" customHeight="1">
      <c r="A204" s="27">
        <v>7</v>
      </c>
      <c r="B204" s="127" t="s">
        <v>232</v>
      </c>
      <c r="C204" s="71" t="s">
        <v>111</v>
      </c>
      <c r="D204" s="128" t="s">
        <v>313</v>
      </c>
      <c r="E204" s="34">
        <v>13.14</v>
      </c>
      <c r="F204" s="34">
        <v>10.8</v>
      </c>
      <c r="G204" s="34">
        <v>26.7</v>
      </c>
      <c r="H204" s="34">
        <v>262.8</v>
      </c>
      <c r="I204" s="34">
        <v>4.4999999999999998E-2</v>
      </c>
      <c r="J204" s="34">
        <v>1.155</v>
      </c>
      <c r="K204" s="34">
        <v>0.06</v>
      </c>
      <c r="L204" s="34">
        <v>4.2750000000000004</v>
      </c>
      <c r="M204" s="34">
        <v>112.41</v>
      </c>
      <c r="N204" s="34">
        <v>157.875</v>
      </c>
      <c r="O204" s="34">
        <v>16.829999999999998</v>
      </c>
      <c r="P204" s="34">
        <v>0.66</v>
      </c>
    </row>
    <row r="205" spans="1:16" ht="16.899999999999999" customHeight="1">
      <c r="B205" s="61" t="s">
        <v>188</v>
      </c>
      <c r="C205" s="37" t="s">
        <v>24</v>
      </c>
      <c r="D205" s="67">
        <v>30</v>
      </c>
      <c r="E205" s="64">
        <v>2.4</v>
      </c>
      <c r="F205" s="64">
        <v>7.4999999999999997E-2</v>
      </c>
      <c r="G205" s="64">
        <v>15.9</v>
      </c>
      <c r="H205" s="64">
        <v>81</v>
      </c>
      <c r="I205" s="64">
        <v>0.06</v>
      </c>
      <c r="J205" s="64">
        <v>1.2</v>
      </c>
      <c r="K205" s="64">
        <v>0</v>
      </c>
      <c r="L205" s="64">
        <v>0</v>
      </c>
      <c r="M205" s="64">
        <v>11.4</v>
      </c>
      <c r="N205" s="64">
        <v>39</v>
      </c>
      <c r="O205" s="64">
        <v>7.8</v>
      </c>
      <c r="P205" s="64">
        <v>0.75</v>
      </c>
    </row>
    <row r="206" spans="1:16" ht="18" customHeight="1">
      <c r="A206" s="27">
        <v>7</v>
      </c>
      <c r="B206" s="61" t="s">
        <v>233</v>
      </c>
      <c r="C206" s="37" t="s">
        <v>234</v>
      </c>
      <c r="D206" s="67">
        <v>30</v>
      </c>
      <c r="E206" s="64">
        <v>5.88</v>
      </c>
      <c r="F206" s="64">
        <v>10.44</v>
      </c>
      <c r="G206" s="64">
        <v>0</v>
      </c>
      <c r="H206" s="64">
        <v>105.21</v>
      </c>
      <c r="I206" s="64">
        <v>0.18600000000000003</v>
      </c>
      <c r="J206" s="64">
        <v>0</v>
      </c>
      <c r="K206" s="64">
        <v>0</v>
      </c>
      <c r="L206" s="64">
        <v>0.12</v>
      </c>
      <c r="M206" s="64">
        <v>6.6</v>
      </c>
      <c r="N206" s="64">
        <v>48</v>
      </c>
      <c r="O206" s="64">
        <v>6.6</v>
      </c>
      <c r="P206" s="64">
        <v>0.54</v>
      </c>
    </row>
    <row r="207" spans="1:16" ht="17.45" customHeight="1">
      <c r="A207" s="27">
        <v>7</v>
      </c>
      <c r="B207" s="61" t="s">
        <v>228</v>
      </c>
      <c r="C207" s="37" t="s">
        <v>229</v>
      </c>
      <c r="D207" s="67">
        <v>20</v>
      </c>
      <c r="E207" s="64">
        <v>4.6399999999999997</v>
      </c>
      <c r="F207" s="64">
        <v>5.9</v>
      </c>
      <c r="G207" s="64">
        <v>0</v>
      </c>
      <c r="H207" s="64">
        <v>71.66</v>
      </c>
      <c r="I207" s="64">
        <v>0</v>
      </c>
      <c r="J207" s="64">
        <v>0.14000000000000001</v>
      </c>
      <c r="K207" s="64">
        <v>5.2000000000000005E-2</v>
      </c>
      <c r="L207" s="64">
        <v>0.1</v>
      </c>
      <c r="M207" s="64">
        <v>176</v>
      </c>
      <c r="N207" s="64">
        <v>100</v>
      </c>
      <c r="O207" s="64">
        <v>7</v>
      </c>
      <c r="P207" s="64">
        <v>0.2</v>
      </c>
    </row>
    <row r="208" spans="1:16" s="68" customFormat="1" ht="17.45" customHeight="1">
      <c r="B208" s="61"/>
      <c r="C208" s="71" t="s">
        <v>171</v>
      </c>
      <c r="D208" s="90"/>
      <c r="E208" s="64">
        <f>SUM(E206:E207)/2</f>
        <v>5.26</v>
      </c>
      <c r="F208" s="64">
        <f t="shared" ref="F208:P208" si="53">SUM(F206:F207)/2</f>
        <v>8.17</v>
      </c>
      <c r="G208" s="64">
        <f t="shared" si="53"/>
        <v>0</v>
      </c>
      <c r="H208" s="64">
        <f t="shared" si="53"/>
        <v>88.435000000000002</v>
      </c>
      <c r="I208" s="64">
        <f t="shared" si="53"/>
        <v>9.3000000000000013E-2</v>
      </c>
      <c r="J208" s="64">
        <f t="shared" si="53"/>
        <v>7.0000000000000007E-2</v>
      </c>
      <c r="K208" s="64">
        <f t="shared" si="53"/>
        <v>2.6000000000000002E-2</v>
      </c>
      <c r="L208" s="64">
        <f t="shared" si="53"/>
        <v>0.11</v>
      </c>
      <c r="M208" s="64">
        <f t="shared" si="53"/>
        <v>91.3</v>
      </c>
      <c r="N208" s="64">
        <f t="shared" si="53"/>
        <v>74</v>
      </c>
      <c r="O208" s="64">
        <f t="shared" si="53"/>
        <v>6.8</v>
      </c>
      <c r="P208" s="64">
        <f t="shared" si="53"/>
        <v>0.37</v>
      </c>
    </row>
    <row r="209" spans="1:16" s="68" customFormat="1" ht="20.100000000000001" customHeight="1">
      <c r="B209" s="61"/>
      <c r="C209" s="71" t="s">
        <v>173</v>
      </c>
      <c r="D209" s="90">
        <v>150</v>
      </c>
      <c r="E209" s="64">
        <v>1.3999999999999997</v>
      </c>
      <c r="F209" s="64">
        <v>0.20000000000000004</v>
      </c>
      <c r="G209" s="64">
        <v>24.3</v>
      </c>
      <c r="H209" s="64">
        <v>70.5</v>
      </c>
      <c r="I209" s="64">
        <v>5.9999999999999991E-2</v>
      </c>
      <c r="J209" s="64">
        <v>15</v>
      </c>
      <c r="K209" s="64">
        <v>0</v>
      </c>
      <c r="L209" s="64">
        <v>1.7</v>
      </c>
      <c r="M209" s="64">
        <v>30</v>
      </c>
      <c r="N209" s="64">
        <v>51</v>
      </c>
      <c r="O209" s="64">
        <v>24</v>
      </c>
      <c r="P209" s="64">
        <v>0.9</v>
      </c>
    </row>
    <row r="210" spans="1:16" s="68" customFormat="1" ht="20.100000000000001" customHeight="1">
      <c r="B210" s="61" t="s">
        <v>235</v>
      </c>
      <c r="C210" s="71" t="s">
        <v>26</v>
      </c>
      <c r="D210" s="113" t="s">
        <v>132</v>
      </c>
      <c r="E210" s="64">
        <v>0.08</v>
      </c>
      <c r="F210" s="64">
        <v>0.02</v>
      </c>
      <c r="G210" s="64">
        <v>15</v>
      </c>
      <c r="H210" s="64">
        <v>60.5</v>
      </c>
      <c r="I210" s="64">
        <v>0</v>
      </c>
      <c r="J210" s="64">
        <v>0.04</v>
      </c>
      <c r="K210" s="64">
        <v>0</v>
      </c>
      <c r="L210" s="64">
        <v>0</v>
      </c>
      <c r="M210" s="64">
        <v>11.1</v>
      </c>
      <c r="N210" s="64">
        <v>2.8</v>
      </c>
      <c r="O210" s="64">
        <v>1.4</v>
      </c>
      <c r="P210" s="64">
        <v>0.28000000000000003</v>
      </c>
    </row>
    <row r="211" spans="1:16" s="68" customFormat="1" ht="18.600000000000001" customHeight="1">
      <c r="B211" s="61" t="s">
        <v>159</v>
      </c>
      <c r="C211" s="71" t="s">
        <v>160</v>
      </c>
      <c r="D211" s="116" t="s">
        <v>130</v>
      </c>
      <c r="E211" s="69">
        <v>0.14000000000000001</v>
      </c>
      <c r="F211" s="69">
        <v>0.02</v>
      </c>
      <c r="G211" s="69">
        <v>15.2</v>
      </c>
      <c r="H211" s="69">
        <v>61.54</v>
      </c>
      <c r="I211" s="69">
        <v>0</v>
      </c>
      <c r="J211" s="69">
        <v>2.84</v>
      </c>
      <c r="K211" s="69">
        <v>0</v>
      </c>
      <c r="L211" s="69">
        <v>0.02</v>
      </c>
      <c r="M211" s="69">
        <v>14.2</v>
      </c>
      <c r="N211" s="69">
        <v>4.4000000000000004</v>
      </c>
      <c r="O211" s="69">
        <v>2.4</v>
      </c>
      <c r="P211" s="69">
        <v>0.36</v>
      </c>
    </row>
    <row r="212" spans="1:16" s="68" customFormat="1" ht="20.100000000000001" customHeight="1">
      <c r="B212" s="61"/>
      <c r="C212" s="71" t="s">
        <v>171</v>
      </c>
      <c r="D212" s="113"/>
      <c r="E212" s="64">
        <f>SUM(E210:E211)/2</f>
        <v>0.11000000000000001</v>
      </c>
      <c r="F212" s="64">
        <f t="shared" ref="F212:P212" si="54">SUM(F210:F211)/2</f>
        <v>0.02</v>
      </c>
      <c r="G212" s="64">
        <f t="shared" si="54"/>
        <v>15.1</v>
      </c>
      <c r="H212" s="64">
        <f t="shared" si="54"/>
        <v>61.019999999999996</v>
      </c>
      <c r="I212" s="64">
        <f t="shared" si="54"/>
        <v>0</v>
      </c>
      <c r="J212" s="64">
        <f t="shared" si="54"/>
        <v>1.44</v>
      </c>
      <c r="K212" s="64">
        <f t="shared" si="54"/>
        <v>0</v>
      </c>
      <c r="L212" s="64">
        <f t="shared" si="54"/>
        <v>0.01</v>
      </c>
      <c r="M212" s="64">
        <f t="shared" si="54"/>
        <v>12.649999999999999</v>
      </c>
      <c r="N212" s="64">
        <f t="shared" si="54"/>
        <v>3.6</v>
      </c>
      <c r="O212" s="64">
        <f t="shared" si="54"/>
        <v>1.9</v>
      </c>
      <c r="P212" s="64">
        <f t="shared" si="54"/>
        <v>0.32</v>
      </c>
    </row>
    <row r="213" spans="1:16" ht="20.100000000000001" customHeight="1">
      <c r="A213" s="27">
        <v>7</v>
      </c>
      <c r="B213" s="119"/>
      <c r="C213" s="119" t="s">
        <v>18</v>
      </c>
      <c r="D213" s="120"/>
      <c r="E213" s="119">
        <f>SUM(E204+E205+E208+E209+E212)</f>
        <v>22.31</v>
      </c>
      <c r="F213" s="119">
        <f t="shared" ref="F213:P213" si="55">SUM(F204+F205+F208+F209+F212)</f>
        <v>19.265000000000001</v>
      </c>
      <c r="G213" s="119">
        <f t="shared" si="55"/>
        <v>82</v>
      </c>
      <c r="H213" s="119">
        <f t="shared" si="55"/>
        <v>563.755</v>
      </c>
      <c r="I213" s="119">
        <f t="shared" si="55"/>
        <v>0.25800000000000001</v>
      </c>
      <c r="J213" s="119">
        <f t="shared" si="55"/>
        <v>18.865000000000002</v>
      </c>
      <c r="K213" s="119">
        <f t="shared" si="55"/>
        <v>8.5999999999999993E-2</v>
      </c>
      <c r="L213" s="119">
        <f t="shared" si="55"/>
        <v>6.0950000000000006</v>
      </c>
      <c r="M213" s="119">
        <f t="shared" si="55"/>
        <v>257.76</v>
      </c>
      <c r="N213" s="119">
        <f t="shared" si="55"/>
        <v>325.47500000000002</v>
      </c>
      <c r="O213" s="119">
        <f t="shared" si="55"/>
        <v>57.33</v>
      </c>
      <c r="P213" s="119">
        <f t="shared" si="55"/>
        <v>3</v>
      </c>
    </row>
    <row r="214" spans="1:16" ht="16.149999999999999" customHeight="1">
      <c r="A214" s="27">
        <v>7</v>
      </c>
      <c r="B214" s="136" t="s">
        <v>19</v>
      </c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</row>
    <row r="215" spans="1:16" ht="22.5" customHeight="1">
      <c r="A215" s="27">
        <v>7</v>
      </c>
      <c r="B215" s="127" t="s">
        <v>319</v>
      </c>
      <c r="C215" s="71" t="s">
        <v>320</v>
      </c>
      <c r="D215" s="128">
        <v>100</v>
      </c>
      <c r="E215" s="30">
        <v>1.5</v>
      </c>
      <c r="F215" s="30">
        <v>5.0999999999999996</v>
      </c>
      <c r="G215" s="30">
        <v>7.9</v>
      </c>
      <c r="H215" s="30">
        <v>83.5</v>
      </c>
      <c r="I215" s="30">
        <v>0</v>
      </c>
      <c r="J215" s="30">
        <v>33</v>
      </c>
      <c r="K215" s="30">
        <v>0</v>
      </c>
      <c r="L215" s="30">
        <v>3.9</v>
      </c>
      <c r="M215" s="30">
        <v>43.6</v>
      </c>
      <c r="N215" s="30">
        <v>35</v>
      </c>
      <c r="O215" s="30">
        <v>18.5</v>
      </c>
      <c r="P215" s="30">
        <v>0.6</v>
      </c>
    </row>
    <row r="216" spans="1:16" ht="24.75" customHeight="1">
      <c r="B216" s="127" t="s">
        <v>201</v>
      </c>
      <c r="C216" s="71" t="s">
        <v>315</v>
      </c>
      <c r="D216" s="128">
        <v>100</v>
      </c>
      <c r="E216" s="30">
        <v>1.41</v>
      </c>
      <c r="F216" s="30">
        <v>5.08</v>
      </c>
      <c r="G216" s="30">
        <v>9.02</v>
      </c>
      <c r="H216" s="30">
        <v>87.44</v>
      </c>
      <c r="I216" s="30">
        <v>0.03</v>
      </c>
      <c r="J216" s="30">
        <v>32.450000000000003</v>
      </c>
      <c r="K216" s="30">
        <v>0</v>
      </c>
      <c r="L216" s="30">
        <v>2.31</v>
      </c>
      <c r="M216" s="30">
        <v>37.369999999999997</v>
      </c>
      <c r="N216" s="30">
        <v>27.61</v>
      </c>
      <c r="O216" s="30">
        <v>15.16</v>
      </c>
      <c r="P216" s="30">
        <v>0.51</v>
      </c>
    </row>
    <row r="217" spans="1:16" ht="19.5" customHeight="1">
      <c r="B217" s="115"/>
      <c r="C217" s="71" t="s">
        <v>171</v>
      </c>
      <c r="D217" s="116"/>
      <c r="E217" s="30">
        <f>SUM(E215:E216)/2</f>
        <v>1.4550000000000001</v>
      </c>
      <c r="F217" s="30">
        <f t="shared" ref="F217:P217" si="56">SUM(F215:F216)/2</f>
        <v>5.09</v>
      </c>
      <c r="G217" s="30">
        <f t="shared" si="56"/>
        <v>8.4600000000000009</v>
      </c>
      <c r="H217" s="30">
        <f t="shared" si="56"/>
        <v>85.47</v>
      </c>
      <c r="I217" s="30">
        <f t="shared" si="56"/>
        <v>1.4999999999999999E-2</v>
      </c>
      <c r="J217" s="30">
        <f t="shared" si="56"/>
        <v>32.725000000000001</v>
      </c>
      <c r="K217" s="30">
        <f t="shared" si="56"/>
        <v>0</v>
      </c>
      <c r="L217" s="30">
        <f t="shared" si="56"/>
        <v>3.105</v>
      </c>
      <c r="M217" s="30">
        <f t="shared" si="56"/>
        <v>40.484999999999999</v>
      </c>
      <c r="N217" s="30">
        <f t="shared" si="56"/>
        <v>31.305</v>
      </c>
      <c r="O217" s="30">
        <f t="shared" si="56"/>
        <v>16.829999999999998</v>
      </c>
      <c r="P217" s="30">
        <f t="shared" si="56"/>
        <v>0.55499999999999994</v>
      </c>
    </row>
    <row r="218" spans="1:16" ht="20.25" customHeight="1">
      <c r="B218" s="127" t="s">
        <v>321</v>
      </c>
      <c r="C218" s="71" t="s">
        <v>137</v>
      </c>
      <c r="D218" s="128">
        <v>250</v>
      </c>
      <c r="E218" s="30">
        <v>1.75</v>
      </c>
      <c r="F218" s="30">
        <v>7</v>
      </c>
      <c r="G218" s="30">
        <v>15.5</v>
      </c>
      <c r="H218" s="30">
        <v>132</v>
      </c>
      <c r="I218" s="30">
        <v>0.25</v>
      </c>
      <c r="J218" s="30">
        <v>10.25</v>
      </c>
      <c r="K218" s="30">
        <v>0</v>
      </c>
      <c r="L218" s="30">
        <v>1.75</v>
      </c>
      <c r="M218" s="30">
        <v>35</v>
      </c>
      <c r="N218" s="30">
        <v>49.25</v>
      </c>
      <c r="O218" s="30">
        <v>20.75</v>
      </c>
      <c r="P218" s="30">
        <v>1.5</v>
      </c>
    </row>
    <row r="219" spans="1:16" ht="18" customHeight="1">
      <c r="B219" s="127" t="s">
        <v>186</v>
      </c>
      <c r="C219" s="71" t="s">
        <v>322</v>
      </c>
      <c r="D219" s="128">
        <v>100</v>
      </c>
      <c r="E219" s="32">
        <v>8.4420000000000002</v>
      </c>
      <c r="F219" s="32">
        <v>14.4</v>
      </c>
      <c r="G219" s="32">
        <v>11.015999999999998</v>
      </c>
      <c r="H219" s="32">
        <v>153.27000000000001</v>
      </c>
      <c r="I219" s="32">
        <v>0.18</v>
      </c>
      <c r="J219" s="32">
        <v>5.3999999999999992E-2</v>
      </c>
      <c r="K219" s="32">
        <v>2.4120000000000004</v>
      </c>
      <c r="L219" s="32">
        <v>3.0059999999999998</v>
      </c>
      <c r="M219" s="32">
        <v>80.171999999999997</v>
      </c>
      <c r="N219" s="32">
        <v>20.394000000000002</v>
      </c>
      <c r="O219" s="32">
        <v>148.185</v>
      </c>
      <c r="P219" s="32">
        <v>1.3230000000000002</v>
      </c>
    </row>
    <row r="220" spans="1:16" ht="20.25" customHeight="1">
      <c r="B220" s="127" t="s">
        <v>323</v>
      </c>
      <c r="C220" s="71" t="s">
        <v>324</v>
      </c>
      <c r="D220" s="128">
        <v>180</v>
      </c>
      <c r="E220" s="30">
        <v>10.295999999999999</v>
      </c>
      <c r="F220" s="30">
        <v>6.9479999999999995</v>
      </c>
      <c r="G220" s="30">
        <v>46.223999999999997</v>
      </c>
      <c r="H220" s="30">
        <v>288.61200000000002</v>
      </c>
      <c r="I220" s="30">
        <v>0.28800000000000003</v>
      </c>
      <c r="J220" s="30">
        <v>0</v>
      </c>
      <c r="K220" s="30">
        <v>1.8000000000000002E-2</v>
      </c>
      <c r="L220" s="30">
        <v>0.72</v>
      </c>
      <c r="M220" s="30">
        <v>18.468</v>
      </c>
      <c r="N220" s="30">
        <v>243.99000000000004</v>
      </c>
      <c r="O220" s="30">
        <v>162.57599999999999</v>
      </c>
      <c r="P220" s="30">
        <v>5.58</v>
      </c>
    </row>
    <row r="221" spans="1:16" ht="20.25" customHeight="1">
      <c r="B221" s="66" t="s">
        <v>172</v>
      </c>
      <c r="C221" s="37" t="s">
        <v>51</v>
      </c>
      <c r="D221" s="67">
        <v>200</v>
      </c>
      <c r="E221" s="30">
        <v>0.16</v>
      </c>
      <c r="F221" s="30">
        <v>0.16</v>
      </c>
      <c r="G221" s="30">
        <v>19.88</v>
      </c>
      <c r="H221" s="30">
        <v>81.599999999999994</v>
      </c>
      <c r="I221" s="30">
        <v>0.02</v>
      </c>
      <c r="J221" s="30">
        <v>0.9</v>
      </c>
      <c r="K221" s="30">
        <v>0</v>
      </c>
      <c r="L221" s="30">
        <v>0.08</v>
      </c>
      <c r="M221" s="30">
        <v>13.94</v>
      </c>
      <c r="N221" s="30">
        <v>4.4000000000000004</v>
      </c>
      <c r="O221" s="30">
        <v>5.14</v>
      </c>
      <c r="P221" s="30">
        <v>0.93600000000000005</v>
      </c>
    </row>
    <row r="222" spans="1:16" ht="20.100000000000001" customHeight="1">
      <c r="A222" s="27">
        <v>7</v>
      </c>
      <c r="B222" s="43" t="s">
        <v>182</v>
      </c>
      <c r="C222" s="50" t="s">
        <v>20</v>
      </c>
      <c r="D222" s="49">
        <v>40</v>
      </c>
      <c r="E222" s="30">
        <v>3.0666666666666664</v>
      </c>
      <c r="F222" s="30">
        <v>0.26666666666666672</v>
      </c>
      <c r="G222" s="30">
        <v>19.733333333333334</v>
      </c>
      <c r="H222" s="30">
        <v>93.6</v>
      </c>
      <c r="I222" s="30">
        <v>0</v>
      </c>
      <c r="J222" s="30">
        <v>0</v>
      </c>
      <c r="K222" s="30">
        <v>0</v>
      </c>
      <c r="L222" s="30">
        <v>0.4</v>
      </c>
      <c r="M222" s="30">
        <v>8</v>
      </c>
      <c r="N222" s="30">
        <v>26</v>
      </c>
      <c r="O222" s="30">
        <v>5.6000000000000014</v>
      </c>
      <c r="P222" s="30">
        <v>0.4</v>
      </c>
    </row>
    <row r="223" spans="1:16" ht="20.100000000000001" customHeight="1">
      <c r="A223" s="27">
        <v>7</v>
      </c>
      <c r="B223" s="43" t="s">
        <v>192</v>
      </c>
      <c r="C223" s="50" t="s">
        <v>21</v>
      </c>
      <c r="D223" s="49">
        <v>50</v>
      </c>
      <c r="E223" s="30">
        <v>3.25</v>
      </c>
      <c r="F223" s="30">
        <v>0.625</v>
      </c>
      <c r="G223" s="30">
        <v>19.75</v>
      </c>
      <c r="H223" s="30">
        <v>97.625</v>
      </c>
      <c r="I223" s="30">
        <v>0.125</v>
      </c>
      <c r="J223" s="30">
        <v>0</v>
      </c>
      <c r="K223" s="30">
        <v>0</v>
      </c>
      <c r="L223" s="30">
        <v>0.75</v>
      </c>
      <c r="M223" s="30">
        <v>14.499999999999998</v>
      </c>
      <c r="N223" s="30">
        <v>75</v>
      </c>
      <c r="O223" s="30">
        <v>23.5</v>
      </c>
      <c r="P223" s="30">
        <v>2</v>
      </c>
    </row>
    <row r="224" spans="1:16" ht="20.100000000000001" customHeight="1">
      <c r="A224" s="27">
        <v>7</v>
      </c>
      <c r="B224" s="119"/>
      <c r="C224" s="119" t="s">
        <v>18</v>
      </c>
      <c r="D224" s="120"/>
      <c r="E224" s="125">
        <v>21.148000000000003</v>
      </c>
      <c r="F224" s="125">
        <v>26.843999999999998</v>
      </c>
      <c r="G224" s="125">
        <v>92.945999999999998</v>
      </c>
      <c r="H224" s="125">
        <v>698.572</v>
      </c>
      <c r="I224" s="125">
        <v>0.58200000000000007</v>
      </c>
      <c r="J224" s="125">
        <v>29.636999999999997</v>
      </c>
      <c r="K224" s="125">
        <v>1.6949999999999998</v>
      </c>
      <c r="L224" s="125">
        <v>7.2929999999999984</v>
      </c>
      <c r="M224" s="125">
        <v>122.235</v>
      </c>
      <c r="N224" s="125">
        <v>363.05799999999999</v>
      </c>
      <c r="O224" s="125">
        <v>308.43799999999999</v>
      </c>
      <c r="P224" s="125">
        <v>10.316000000000001</v>
      </c>
    </row>
    <row r="225" spans="1:16" ht="16.149999999999999" customHeight="1">
      <c r="A225" s="27">
        <v>7</v>
      </c>
      <c r="B225" s="136" t="s">
        <v>22</v>
      </c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</row>
    <row r="226" spans="1:16" ht="31.9" customHeight="1">
      <c r="A226" s="27">
        <v>7</v>
      </c>
      <c r="B226" s="127" t="s">
        <v>236</v>
      </c>
      <c r="C226" s="71" t="s">
        <v>237</v>
      </c>
      <c r="D226" s="128" t="s">
        <v>313</v>
      </c>
      <c r="E226" s="34">
        <v>6.1319999999999997</v>
      </c>
      <c r="F226" s="34">
        <v>15.834000000000001</v>
      </c>
      <c r="G226" s="34">
        <v>38.135999999999996</v>
      </c>
      <c r="H226" s="34">
        <v>348.6</v>
      </c>
      <c r="I226" s="34">
        <v>0.252</v>
      </c>
      <c r="J226" s="34">
        <v>7.875</v>
      </c>
      <c r="K226" s="34">
        <v>44.1</v>
      </c>
      <c r="L226" s="34">
        <v>5.1029999999999998</v>
      </c>
      <c r="M226" s="34">
        <v>48.258000000000003</v>
      </c>
      <c r="N226" s="34">
        <v>169.34400000000002</v>
      </c>
      <c r="O226" s="34">
        <v>56.091000000000001</v>
      </c>
      <c r="P226" s="34">
        <v>1.7010000000000003</v>
      </c>
    </row>
    <row r="227" spans="1:16" ht="36.75" customHeight="1">
      <c r="A227" s="27">
        <v>7</v>
      </c>
      <c r="B227" s="127" t="s">
        <v>187</v>
      </c>
      <c r="C227" s="71" t="s">
        <v>218</v>
      </c>
      <c r="D227" s="128" t="s">
        <v>313</v>
      </c>
      <c r="E227" s="34">
        <v>12.15</v>
      </c>
      <c r="F227" s="34">
        <v>13.95</v>
      </c>
      <c r="G227" s="34">
        <v>36.390000000000008</v>
      </c>
      <c r="H227" s="34">
        <v>319.8</v>
      </c>
      <c r="I227" s="34">
        <v>0.16500000000000001</v>
      </c>
      <c r="J227" s="34">
        <v>7.964999999999999</v>
      </c>
      <c r="K227" s="34">
        <v>2.94</v>
      </c>
      <c r="L227" s="34">
        <v>2.3849999999999998</v>
      </c>
      <c r="M227" s="34">
        <v>191.43</v>
      </c>
      <c r="N227" s="34">
        <v>243.25499999999997</v>
      </c>
      <c r="O227" s="34">
        <v>64.739999999999995</v>
      </c>
      <c r="P227" s="34">
        <v>1.7849999999999999</v>
      </c>
    </row>
    <row r="228" spans="1:16" s="68" customFormat="1" ht="20.25" customHeight="1">
      <c r="B228" s="89"/>
      <c r="C228" s="40" t="s">
        <v>171</v>
      </c>
      <c r="D228" s="72"/>
      <c r="E228" s="34">
        <f>SUM(E226:E227)/2</f>
        <v>9.141</v>
      </c>
      <c r="F228" s="34">
        <f t="shared" ref="F228:P228" si="57">SUM(F226:F227)/2</f>
        <v>14.891999999999999</v>
      </c>
      <c r="G228" s="34">
        <f t="shared" si="57"/>
        <v>37.263000000000005</v>
      </c>
      <c r="H228" s="34">
        <f t="shared" si="57"/>
        <v>334.20000000000005</v>
      </c>
      <c r="I228" s="34">
        <f t="shared" si="57"/>
        <v>0.20850000000000002</v>
      </c>
      <c r="J228" s="34">
        <f t="shared" si="57"/>
        <v>7.92</v>
      </c>
      <c r="K228" s="34">
        <f t="shared" si="57"/>
        <v>23.52</v>
      </c>
      <c r="L228" s="34">
        <f t="shared" si="57"/>
        <v>3.7439999999999998</v>
      </c>
      <c r="M228" s="34">
        <f t="shared" si="57"/>
        <v>119.84400000000001</v>
      </c>
      <c r="N228" s="34">
        <f t="shared" si="57"/>
        <v>206.29949999999999</v>
      </c>
      <c r="O228" s="34">
        <f t="shared" si="57"/>
        <v>60.415499999999994</v>
      </c>
      <c r="P228" s="34">
        <f t="shared" si="57"/>
        <v>1.7430000000000001</v>
      </c>
    </row>
    <row r="229" spans="1:16" s="68" customFormat="1" ht="20.100000000000001" customHeight="1">
      <c r="B229" s="89" t="s">
        <v>235</v>
      </c>
      <c r="C229" s="40" t="s">
        <v>26</v>
      </c>
      <c r="D229" s="72" t="s">
        <v>132</v>
      </c>
      <c r="E229" s="34">
        <v>0.08</v>
      </c>
      <c r="F229" s="34">
        <v>0.02</v>
      </c>
      <c r="G229" s="34">
        <v>15</v>
      </c>
      <c r="H229" s="34">
        <v>60.5</v>
      </c>
      <c r="I229" s="34">
        <v>0</v>
      </c>
      <c r="J229" s="34">
        <v>0</v>
      </c>
      <c r="K229" s="34">
        <v>0.04</v>
      </c>
      <c r="L229" s="34">
        <v>0</v>
      </c>
      <c r="M229" s="34">
        <v>11.1</v>
      </c>
      <c r="N229" s="34">
        <v>1.4</v>
      </c>
      <c r="O229" s="34">
        <v>2.8</v>
      </c>
      <c r="P229" s="34">
        <v>0.28000000000000003</v>
      </c>
    </row>
    <row r="230" spans="1:16" ht="19.5" customHeight="1">
      <c r="A230" s="27">
        <v>7</v>
      </c>
      <c r="B230" s="119"/>
      <c r="C230" s="119" t="s">
        <v>18</v>
      </c>
      <c r="D230" s="120"/>
      <c r="E230" s="119">
        <f>SUM(E228:E229)</f>
        <v>9.2210000000000001</v>
      </c>
      <c r="F230" s="119">
        <f t="shared" ref="F230:P230" si="58">SUM(F228:F229)</f>
        <v>14.911999999999999</v>
      </c>
      <c r="G230" s="119">
        <f>SUM(G228:G229)</f>
        <v>52.263000000000005</v>
      </c>
      <c r="H230" s="119">
        <f t="shared" si="58"/>
        <v>394.70000000000005</v>
      </c>
      <c r="I230" s="119">
        <f t="shared" si="58"/>
        <v>0.20850000000000002</v>
      </c>
      <c r="J230" s="119">
        <f t="shared" si="58"/>
        <v>7.92</v>
      </c>
      <c r="K230" s="119">
        <f t="shared" si="58"/>
        <v>23.56</v>
      </c>
      <c r="L230" s="119">
        <f t="shared" si="58"/>
        <v>3.7439999999999998</v>
      </c>
      <c r="M230" s="119">
        <f t="shared" si="58"/>
        <v>130.94400000000002</v>
      </c>
      <c r="N230" s="119">
        <f t="shared" si="58"/>
        <v>207.6995</v>
      </c>
      <c r="O230" s="119">
        <f t="shared" si="58"/>
        <v>63.215499999999992</v>
      </c>
      <c r="P230" s="119">
        <f t="shared" si="58"/>
        <v>2.0230000000000001</v>
      </c>
    </row>
    <row r="231" spans="1:16" ht="20.100000000000001" customHeight="1">
      <c r="A231" s="27">
        <v>7</v>
      </c>
      <c r="B231" s="66"/>
      <c r="C231" s="66" t="s">
        <v>32</v>
      </c>
      <c r="D231" s="67"/>
      <c r="E231" s="66">
        <f>SUM(E213+E224+E230)</f>
        <v>52.679000000000002</v>
      </c>
      <c r="F231" s="115">
        <f t="shared" ref="F231:P231" si="59">SUM(F213+F224+F230)</f>
        <v>61.020999999999994</v>
      </c>
      <c r="G231" s="115">
        <f t="shared" si="59"/>
        <v>227.209</v>
      </c>
      <c r="H231" s="115">
        <f t="shared" si="59"/>
        <v>1657.027</v>
      </c>
      <c r="I231" s="115">
        <f t="shared" si="59"/>
        <v>1.0485000000000002</v>
      </c>
      <c r="J231" s="115">
        <f t="shared" si="59"/>
        <v>56.421999999999997</v>
      </c>
      <c r="K231" s="115">
        <f t="shared" si="59"/>
        <v>25.340999999999998</v>
      </c>
      <c r="L231" s="115">
        <f t="shared" si="59"/>
        <v>17.131999999999998</v>
      </c>
      <c r="M231" s="115">
        <f t="shared" si="59"/>
        <v>510.93900000000002</v>
      </c>
      <c r="N231" s="115">
        <f t="shared" si="59"/>
        <v>896.23250000000007</v>
      </c>
      <c r="O231" s="115">
        <f t="shared" si="59"/>
        <v>428.98349999999994</v>
      </c>
      <c r="P231" s="115">
        <f t="shared" si="59"/>
        <v>15.339</v>
      </c>
    </row>
    <row r="232" spans="1:16" s="36" customFormat="1" ht="20.100000000000001" customHeight="1">
      <c r="B232" s="41"/>
      <c r="C232" s="41"/>
      <c r="D232" s="46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</row>
    <row r="233" spans="1:16" s="36" customFormat="1" ht="20.100000000000001" customHeight="1">
      <c r="B233" s="39" t="s">
        <v>124</v>
      </c>
      <c r="C233" s="38"/>
      <c r="D233" s="46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</row>
    <row r="234" spans="1:16" s="36" customFormat="1" ht="20.100000000000001" customHeight="1">
      <c r="B234" s="39" t="s">
        <v>122</v>
      </c>
      <c r="C234" s="38"/>
      <c r="D234" s="46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</row>
    <row r="235" spans="1:16" s="36" customFormat="1" ht="20.100000000000001" customHeight="1">
      <c r="B235" s="39" t="s">
        <v>115</v>
      </c>
      <c r="C235" s="38"/>
      <c r="D235" s="46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</row>
    <row r="236" spans="1:16" s="36" customFormat="1" ht="20.100000000000001" customHeight="1">
      <c r="B236" s="41"/>
      <c r="C236" s="41"/>
      <c r="D236" s="46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</row>
    <row r="237" spans="1:16" s="36" customFormat="1" ht="36" customHeight="1">
      <c r="B237" s="137" t="s">
        <v>0</v>
      </c>
      <c r="C237" s="137" t="s">
        <v>1</v>
      </c>
      <c r="D237" s="138" t="s">
        <v>2</v>
      </c>
      <c r="E237" s="136" t="s">
        <v>3</v>
      </c>
      <c r="F237" s="136"/>
      <c r="G237" s="136"/>
      <c r="H237" s="136" t="s">
        <v>4</v>
      </c>
      <c r="I237" s="136" t="s">
        <v>5</v>
      </c>
      <c r="J237" s="136"/>
      <c r="K237" s="136"/>
      <c r="L237" s="136"/>
      <c r="M237" s="136" t="s">
        <v>6</v>
      </c>
      <c r="N237" s="136"/>
      <c r="O237" s="136"/>
      <c r="P237" s="136"/>
    </row>
    <row r="238" spans="1:16" s="36" customFormat="1" ht="34.15" customHeight="1">
      <c r="B238" s="137"/>
      <c r="C238" s="137"/>
      <c r="D238" s="138"/>
      <c r="E238" s="66" t="s">
        <v>7</v>
      </c>
      <c r="F238" s="66" t="s">
        <v>8</v>
      </c>
      <c r="G238" s="66" t="s">
        <v>9</v>
      </c>
      <c r="H238" s="136"/>
      <c r="I238" s="66" t="s">
        <v>116</v>
      </c>
      <c r="J238" s="66" t="s">
        <v>10</v>
      </c>
      <c r="K238" s="66" t="s">
        <v>11</v>
      </c>
      <c r="L238" s="66" t="s">
        <v>12</v>
      </c>
      <c r="M238" s="66" t="s">
        <v>13</v>
      </c>
      <c r="N238" s="66" t="s">
        <v>14</v>
      </c>
      <c r="O238" s="66" t="s">
        <v>15</v>
      </c>
      <c r="P238" s="66" t="s">
        <v>16</v>
      </c>
    </row>
    <row r="239" spans="1:16" ht="18" customHeight="1">
      <c r="A239" s="27">
        <v>8</v>
      </c>
      <c r="B239" s="136" t="s">
        <v>17</v>
      </c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</row>
    <row r="240" spans="1:16" ht="31.15" customHeight="1">
      <c r="A240" s="27">
        <v>8</v>
      </c>
      <c r="B240" s="127" t="s">
        <v>238</v>
      </c>
      <c r="C240" s="71" t="s">
        <v>239</v>
      </c>
      <c r="D240" s="128" t="s">
        <v>305</v>
      </c>
      <c r="E240" s="69">
        <v>13.324999999999999</v>
      </c>
      <c r="F240" s="69">
        <v>8.4049999999999994</v>
      </c>
      <c r="G240" s="69">
        <v>27.265000000000001</v>
      </c>
      <c r="H240" s="69">
        <v>238.005</v>
      </c>
      <c r="I240" s="69">
        <v>8.199999999999999E-2</v>
      </c>
      <c r="J240" s="69">
        <v>1.1480000000000001</v>
      </c>
      <c r="K240" s="69">
        <v>6.1499999999999992E-2</v>
      </c>
      <c r="L240" s="69">
        <v>63.263000000000005</v>
      </c>
      <c r="M240" s="69">
        <v>130.58500000000001</v>
      </c>
      <c r="N240" s="69">
        <v>115.41500000000001</v>
      </c>
      <c r="O240" s="69">
        <v>19.884999999999998</v>
      </c>
      <c r="P240" s="69">
        <v>0.41</v>
      </c>
    </row>
    <row r="241" spans="1:16" ht="28.9" customHeight="1">
      <c r="B241" s="127" t="s">
        <v>213</v>
      </c>
      <c r="C241" s="71" t="s">
        <v>325</v>
      </c>
      <c r="D241" s="128" t="s">
        <v>313</v>
      </c>
      <c r="E241" s="69">
        <v>7.98</v>
      </c>
      <c r="F241" s="69">
        <v>14.91</v>
      </c>
      <c r="G241" s="69">
        <v>67.59899999999999</v>
      </c>
      <c r="H241" s="69">
        <v>462.84</v>
      </c>
      <c r="I241" s="69">
        <v>0.35700000000000004</v>
      </c>
      <c r="J241" s="69">
        <v>0</v>
      </c>
      <c r="K241" s="69">
        <v>7.14</v>
      </c>
      <c r="L241" s="69">
        <v>5.0819999999999999</v>
      </c>
      <c r="M241" s="69">
        <v>54.033000000000001</v>
      </c>
      <c r="N241" s="69">
        <v>267.267</v>
      </c>
      <c r="O241" s="69">
        <v>70.412999999999997</v>
      </c>
      <c r="P241" s="69">
        <v>2.7719999999999998</v>
      </c>
    </row>
    <row r="242" spans="1:16" ht="19.149999999999999" customHeight="1">
      <c r="B242" s="115"/>
      <c r="C242" s="71" t="s">
        <v>171</v>
      </c>
      <c r="D242" s="116"/>
      <c r="E242" s="69">
        <f>SUM(E240:E241)/2</f>
        <v>10.6525</v>
      </c>
      <c r="F242" s="69">
        <f t="shared" ref="F242:P242" si="60">SUM(F240:F241)/2</f>
        <v>11.657499999999999</v>
      </c>
      <c r="G242" s="69">
        <f t="shared" si="60"/>
        <v>47.431999999999995</v>
      </c>
      <c r="H242" s="69">
        <f t="shared" si="60"/>
        <v>350.42250000000001</v>
      </c>
      <c r="I242" s="69">
        <f t="shared" si="60"/>
        <v>0.21950000000000003</v>
      </c>
      <c r="J242" s="69">
        <f t="shared" si="60"/>
        <v>0.57400000000000007</v>
      </c>
      <c r="K242" s="69">
        <f t="shared" si="60"/>
        <v>3.6007499999999997</v>
      </c>
      <c r="L242" s="69">
        <f t="shared" si="60"/>
        <v>34.172499999999999</v>
      </c>
      <c r="M242" s="69">
        <f t="shared" si="60"/>
        <v>92.308999999999997</v>
      </c>
      <c r="N242" s="69">
        <f t="shared" si="60"/>
        <v>191.34100000000001</v>
      </c>
      <c r="O242" s="69">
        <f t="shared" si="60"/>
        <v>45.149000000000001</v>
      </c>
      <c r="P242" s="69">
        <f t="shared" si="60"/>
        <v>1.591</v>
      </c>
    </row>
    <row r="243" spans="1:16" ht="18.75" customHeight="1">
      <c r="B243" s="115" t="s">
        <v>188</v>
      </c>
      <c r="C243" s="71" t="s">
        <v>24</v>
      </c>
      <c r="D243" s="116">
        <v>30</v>
      </c>
      <c r="E243" s="69">
        <v>2.4</v>
      </c>
      <c r="F243" s="69">
        <v>7.4999999999999997E-2</v>
      </c>
      <c r="G243" s="69">
        <v>15.9</v>
      </c>
      <c r="H243" s="69">
        <v>81</v>
      </c>
      <c r="I243" s="69">
        <v>3.3000000000000002E-2</v>
      </c>
      <c r="J243" s="69">
        <v>0</v>
      </c>
      <c r="K243" s="69">
        <v>0</v>
      </c>
      <c r="L243" s="69">
        <v>0.51</v>
      </c>
      <c r="M243" s="69">
        <v>5.7</v>
      </c>
      <c r="N243" s="69">
        <v>19.5</v>
      </c>
      <c r="O243" s="69">
        <v>3.9</v>
      </c>
      <c r="P243" s="69">
        <v>0.36</v>
      </c>
    </row>
    <row r="244" spans="1:16" ht="18.75" customHeight="1">
      <c r="A244" s="27">
        <v>8</v>
      </c>
      <c r="B244" s="115" t="s">
        <v>211</v>
      </c>
      <c r="C244" s="71" t="s">
        <v>246</v>
      </c>
      <c r="D244" s="116">
        <v>10</v>
      </c>
      <c r="E244" s="69">
        <v>0.25</v>
      </c>
      <c r="F244" s="69">
        <v>5.3</v>
      </c>
      <c r="G244" s="69">
        <v>1.89</v>
      </c>
      <c r="H244" s="69">
        <v>56</v>
      </c>
      <c r="I244" s="69">
        <v>1E-3</v>
      </c>
      <c r="J244" s="69">
        <v>0</v>
      </c>
      <c r="K244" s="69">
        <v>0.04</v>
      </c>
      <c r="L244" s="69">
        <v>0.1</v>
      </c>
      <c r="M244" s="69">
        <v>2.4</v>
      </c>
      <c r="N244" s="69">
        <v>3</v>
      </c>
      <c r="O244" s="69">
        <v>0</v>
      </c>
      <c r="P244" s="69">
        <v>0.02</v>
      </c>
    </row>
    <row r="245" spans="1:16" s="68" customFormat="1" ht="18.75" customHeight="1">
      <c r="B245" s="115"/>
      <c r="C245" s="71" t="s">
        <v>173</v>
      </c>
      <c r="D245" s="116">
        <v>150</v>
      </c>
      <c r="E245" s="69">
        <v>2.25</v>
      </c>
      <c r="F245" s="69">
        <v>0.75</v>
      </c>
      <c r="G245" s="69">
        <v>19.8</v>
      </c>
      <c r="H245" s="69">
        <v>109.65</v>
      </c>
      <c r="I245" s="69">
        <v>0.06</v>
      </c>
      <c r="J245" s="69">
        <v>15</v>
      </c>
      <c r="K245" s="69">
        <v>0</v>
      </c>
      <c r="L245" s="69">
        <v>0.6</v>
      </c>
      <c r="M245" s="69">
        <v>12</v>
      </c>
      <c r="N245" s="69">
        <v>42</v>
      </c>
      <c r="O245" s="69">
        <v>63</v>
      </c>
      <c r="P245" s="69">
        <v>0.9</v>
      </c>
    </row>
    <row r="246" spans="1:16" s="68" customFormat="1" ht="22.5" customHeight="1">
      <c r="B246" s="115" t="s">
        <v>224</v>
      </c>
      <c r="C246" s="71" t="s">
        <v>56</v>
      </c>
      <c r="D246" s="116">
        <v>200</v>
      </c>
      <c r="E246" s="69">
        <v>4.08</v>
      </c>
      <c r="F246" s="69">
        <v>3.54</v>
      </c>
      <c r="G246" s="69">
        <v>17.579999999999998</v>
      </c>
      <c r="H246" s="69">
        <v>118.5</v>
      </c>
      <c r="I246" s="69">
        <v>0.06</v>
      </c>
      <c r="J246" s="69">
        <v>1.58</v>
      </c>
      <c r="K246" s="69">
        <v>0.02</v>
      </c>
      <c r="L246" s="69">
        <v>0</v>
      </c>
      <c r="M246" s="69">
        <v>152.22</v>
      </c>
      <c r="N246" s="69">
        <v>124.56</v>
      </c>
      <c r="O246" s="69">
        <v>21.34</v>
      </c>
      <c r="P246" s="69">
        <v>0.48</v>
      </c>
    </row>
    <row r="247" spans="1:16" ht="15.6" hidden="1" customHeight="1">
      <c r="B247" s="66"/>
      <c r="C247" s="70" t="s">
        <v>18</v>
      </c>
      <c r="D247" s="67"/>
      <c r="E247" s="69">
        <v>163.43324999999999</v>
      </c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</row>
    <row r="248" spans="1:16" s="68" customFormat="1" ht="19.5" customHeight="1">
      <c r="B248" s="119"/>
      <c r="C248" s="126" t="s">
        <v>18</v>
      </c>
      <c r="D248" s="126"/>
      <c r="E248" s="119">
        <f>SUM(E242:E246)</f>
        <v>19.6325</v>
      </c>
      <c r="F248" s="119">
        <f t="shared" ref="F248:P248" si="61">SUM(F242:F246)</f>
        <v>21.322499999999998</v>
      </c>
      <c r="G248" s="119">
        <f t="shared" si="61"/>
        <v>102.60199999999999</v>
      </c>
      <c r="H248" s="119">
        <f t="shared" si="61"/>
        <v>715.57249999999999</v>
      </c>
      <c r="I248" s="119">
        <f t="shared" si="61"/>
        <v>0.37350000000000005</v>
      </c>
      <c r="J248" s="119">
        <f t="shared" si="61"/>
        <v>17.154</v>
      </c>
      <c r="K248" s="119">
        <f t="shared" si="61"/>
        <v>3.6607499999999997</v>
      </c>
      <c r="L248" s="119">
        <f t="shared" si="61"/>
        <v>35.3825</v>
      </c>
      <c r="M248" s="119">
        <f t="shared" si="61"/>
        <v>264.62900000000002</v>
      </c>
      <c r="N248" s="119">
        <f t="shared" si="61"/>
        <v>380.40100000000001</v>
      </c>
      <c r="O248" s="119">
        <f t="shared" si="61"/>
        <v>133.38900000000001</v>
      </c>
      <c r="P248" s="119">
        <f t="shared" si="61"/>
        <v>3.351</v>
      </c>
    </row>
    <row r="249" spans="1:16" ht="20.100000000000001" customHeight="1">
      <c r="A249" s="27">
        <v>8</v>
      </c>
      <c r="B249" s="136" t="s">
        <v>19</v>
      </c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</row>
    <row r="250" spans="1:16" ht="20.100000000000001" customHeight="1">
      <c r="A250" s="27">
        <v>8</v>
      </c>
      <c r="B250" s="127" t="s">
        <v>180</v>
      </c>
      <c r="C250" s="71" t="s">
        <v>129</v>
      </c>
      <c r="D250" s="128">
        <v>100</v>
      </c>
      <c r="E250" s="30">
        <v>2.29</v>
      </c>
      <c r="F250" s="30">
        <v>1.22</v>
      </c>
      <c r="G250" s="30">
        <v>14.34</v>
      </c>
      <c r="H250" s="30">
        <v>77.5</v>
      </c>
      <c r="I250" s="30">
        <v>0</v>
      </c>
      <c r="J250" s="30">
        <v>1.8</v>
      </c>
      <c r="K250" s="30">
        <v>0</v>
      </c>
      <c r="L250" s="30">
        <v>0.1</v>
      </c>
      <c r="M250" s="30">
        <v>3</v>
      </c>
      <c r="N250" s="30">
        <v>46</v>
      </c>
      <c r="O250" s="30">
        <v>13</v>
      </c>
      <c r="P250" s="30">
        <v>0.3</v>
      </c>
    </row>
    <row r="251" spans="1:16" s="68" customFormat="1" ht="25.5" customHeight="1">
      <c r="B251" s="127" t="s">
        <v>240</v>
      </c>
      <c r="C251" s="71" t="s">
        <v>326</v>
      </c>
      <c r="D251" s="72">
        <v>100</v>
      </c>
      <c r="E251" s="30">
        <v>4.8</v>
      </c>
      <c r="F251" s="30">
        <v>5.5</v>
      </c>
      <c r="G251" s="30">
        <v>8.3000000000000007</v>
      </c>
      <c r="H251" s="30">
        <v>101.9</v>
      </c>
      <c r="I251" s="30">
        <v>0.17</v>
      </c>
      <c r="J251" s="30">
        <v>5.5</v>
      </c>
      <c r="K251" s="30">
        <v>31.8</v>
      </c>
      <c r="L251" s="30">
        <v>0.7</v>
      </c>
      <c r="M251" s="30">
        <v>59.2</v>
      </c>
      <c r="N251" s="30">
        <v>114.7</v>
      </c>
      <c r="O251" s="30">
        <v>35.299999999999997</v>
      </c>
      <c r="P251" s="30">
        <v>3</v>
      </c>
    </row>
    <row r="252" spans="1:16" s="68" customFormat="1" ht="20.100000000000001" customHeight="1">
      <c r="B252" s="115"/>
      <c r="C252" s="71" t="s">
        <v>171</v>
      </c>
      <c r="D252" s="116"/>
      <c r="E252" s="30">
        <f>SUM(E250:E251)/2</f>
        <v>3.5449999999999999</v>
      </c>
      <c r="F252" s="30">
        <f t="shared" ref="F252:P252" si="62">SUM(F250:F251)/2</f>
        <v>3.36</v>
      </c>
      <c r="G252" s="30">
        <f t="shared" si="62"/>
        <v>11.32</v>
      </c>
      <c r="H252" s="30">
        <f t="shared" si="62"/>
        <v>89.7</v>
      </c>
      <c r="I252" s="30">
        <f t="shared" si="62"/>
        <v>8.5000000000000006E-2</v>
      </c>
      <c r="J252" s="30">
        <f t="shared" si="62"/>
        <v>3.65</v>
      </c>
      <c r="K252" s="30">
        <f t="shared" si="62"/>
        <v>15.9</v>
      </c>
      <c r="L252" s="30">
        <f t="shared" si="62"/>
        <v>0.39999999999999997</v>
      </c>
      <c r="M252" s="30">
        <f t="shared" si="62"/>
        <v>31.1</v>
      </c>
      <c r="N252" s="30">
        <f t="shared" si="62"/>
        <v>80.349999999999994</v>
      </c>
      <c r="O252" s="30">
        <f t="shared" si="62"/>
        <v>24.15</v>
      </c>
      <c r="P252" s="30">
        <f t="shared" si="62"/>
        <v>1.65</v>
      </c>
    </row>
    <row r="253" spans="1:16" ht="42" customHeight="1">
      <c r="A253" s="27">
        <v>8</v>
      </c>
      <c r="B253" s="127" t="s">
        <v>203</v>
      </c>
      <c r="C253" s="71" t="s">
        <v>134</v>
      </c>
      <c r="D253" s="128" t="s">
        <v>314</v>
      </c>
      <c r="E253" s="30">
        <v>2.4750000000000001</v>
      </c>
      <c r="F253" s="30">
        <v>3.0249999999999999</v>
      </c>
      <c r="G253" s="30">
        <v>17.05</v>
      </c>
      <c r="H253" s="30">
        <v>105.325</v>
      </c>
      <c r="I253" s="30">
        <v>0</v>
      </c>
      <c r="J253" s="30">
        <v>0</v>
      </c>
      <c r="K253" s="30">
        <v>12.1</v>
      </c>
      <c r="L253" s="30">
        <v>1.375</v>
      </c>
      <c r="M253" s="30">
        <v>32.725000000000001</v>
      </c>
      <c r="N253" s="30">
        <v>32.725000000000001</v>
      </c>
      <c r="O253" s="30">
        <v>79.474999999999994</v>
      </c>
      <c r="P253" s="30">
        <v>1.375</v>
      </c>
    </row>
    <row r="254" spans="1:16" ht="20.100000000000001" customHeight="1">
      <c r="A254" s="27">
        <v>8</v>
      </c>
      <c r="B254" s="115" t="s">
        <v>297</v>
      </c>
      <c r="C254" s="71" t="s">
        <v>298</v>
      </c>
      <c r="D254" s="116">
        <v>100</v>
      </c>
      <c r="E254" s="30">
        <v>8.1999999999999993</v>
      </c>
      <c r="F254" s="30">
        <v>11.4</v>
      </c>
      <c r="G254" s="30">
        <v>5.4</v>
      </c>
      <c r="H254" s="30">
        <v>157</v>
      </c>
      <c r="I254" s="30">
        <v>0.1</v>
      </c>
      <c r="J254" s="30">
        <v>0.1</v>
      </c>
      <c r="K254" s="30">
        <v>1.1000000000000001</v>
      </c>
      <c r="L254" s="30">
        <v>1.5</v>
      </c>
      <c r="M254" s="30">
        <v>24</v>
      </c>
      <c r="N254" s="30">
        <v>17.7</v>
      </c>
      <c r="O254" s="30">
        <v>136</v>
      </c>
      <c r="P254" s="30">
        <v>1.6</v>
      </c>
    </row>
    <row r="255" spans="1:16" ht="20.100000000000001" customHeight="1">
      <c r="A255" s="27">
        <v>8</v>
      </c>
      <c r="B255" s="127" t="s">
        <v>167</v>
      </c>
      <c r="C255" s="71" t="s">
        <v>162</v>
      </c>
      <c r="D255" s="128">
        <v>180</v>
      </c>
      <c r="E255" s="30">
        <v>4.32</v>
      </c>
      <c r="F255" s="30">
        <v>4.8240000000000007</v>
      </c>
      <c r="G255" s="30">
        <v>37.764000000000003</v>
      </c>
      <c r="H255" s="30">
        <v>211.75200000000001</v>
      </c>
      <c r="I255" s="30">
        <v>3.6000000000000004E-2</v>
      </c>
      <c r="J255" s="30">
        <v>0</v>
      </c>
      <c r="K255" s="30">
        <v>23.22</v>
      </c>
      <c r="L255" s="30">
        <v>0.30599999999999999</v>
      </c>
      <c r="M255" s="30">
        <v>7.0920000000000005</v>
      </c>
      <c r="N255" s="30">
        <v>93.366</v>
      </c>
      <c r="O255" s="30">
        <v>30.545999999999999</v>
      </c>
      <c r="P255" s="30">
        <v>0.62999999999999989</v>
      </c>
    </row>
    <row r="256" spans="1:16" ht="21.75" customHeight="1">
      <c r="A256" s="27">
        <v>8</v>
      </c>
      <c r="B256" s="66" t="s">
        <v>178</v>
      </c>
      <c r="C256" s="37" t="s">
        <v>59</v>
      </c>
      <c r="D256" s="67">
        <v>200</v>
      </c>
      <c r="E256" s="30">
        <v>0.66</v>
      </c>
      <c r="F256" s="30">
        <v>0.1</v>
      </c>
      <c r="G256" s="30">
        <v>28.02</v>
      </c>
      <c r="H256" s="30">
        <v>109.48</v>
      </c>
      <c r="I256" s="30">
        <v>0</v>
      </c>
      <c r="J256" s="30">
        <v>0.02</v>
      </c>
      <c r="K256" s="30">
        <v>0.68</v>
      </c>
      <c r="L256" s="30">
        <v>0.5</v>
      </c>
      <c r="M256" s="30">
        <v>32.479999999999997</v>
      </c>
      <c r="N256" s="30">
        <v>17.46</v>
      </c>
      <c r="O256" s="30">
        <v>23.44</v>
      </c>
      <c r="P256" s="30">
        <v>0.7</v>
      </c>
    </row>
    <row r="257" spans="1:16" ht="20.100000000000001" customHeight="1">
      <c r="A257" s="27">
        <v>8</v>
      </c>
      <c r="B257" s="43" t="s">
        <v>182</v>
      </c>
      <c r="C257" s="50" t="s">
        <v>20</v>
      </c>
      <c r="D257" s="49">
        <v>40</v>
      </c>
      <c r="E257" s="30">
        <v>3.0666666666666664</v>
      </c>
      <c r="F257" s="30">
        <v>0.26666666666666672</v>
      </c>
      <c r="G257" s="30">
        <v>19.733333333333334</v>
      </c>
      <c r="H257" s="30">
        <v>93.6</v>
      </c>
      <c r="I257" s="30">
        <v>0</v>
      </c>
      <c r="J257" s="30">
        <v>0</v>
      </c>
      <c r="K257" s="30">
        <v>0</v>
      </c>
      <c r="L257" s="30">
        <v>0.4</v>
      </c>
      <c r="M257" s="30">
        <v>8</v>
      </c>
      <c r="N257" s="30">
        <v>26</v>
      </c>
      <c r="O257" s="30">
        <v>5.6000000000000014</v>
      </c>
      <c r="P257" s="30">
        <v>0.4</v>
      </c>
    </row>
    <row r="258" spans="1:16" ht="20.100000000000001" customHeight="1">
      <c r="A258" s="27">
        <v>8</v>
      </c>
      <c r="B258" s="43" t="s">
        <v>192</v>
      </c>
      <c r="C258" s="50" t="s">
        <v>21</v>
      </c>
      <c r="D258" s="49">
        <v>50</v>
      </c>
      <c r="E258" s="30">
        <v>3.25</v>
      </c>
      <c r="F258" s="30">
        <v>0.625</v>
      </c>
      <c r="G258" s="30">
        <v>19.75</v>
      </c>
      <c r="H258" s="30">
        <v>97.625</v>
      </c>
      <c r="I258" s="30">
        <v>0.125</v>
      </c>
      <c r="J258" s="30">
        <v>0</v>
      </c>
      <c r="K258" s="30">
        <v>0</v>
      </c>
      <c r="L258" s="30">
        <v>0.75</v>
      </c>
      <c r="M258" s="30">
        <v>14.499999999999998</v>
      </c>
      <c r="N258" s="30">
        <v>75</v>
      </c>
      <c r="O258" s="30">
        <v>23.5</v>
      </c>
      <c r="P258" s="30">
        <v>2</v>
      </c>
    </row>
    <row r="259" spans="1:16" ht="21.75" customHeight="1">
      <c r="A259" s="27">
        <v>8</v>
      </c>
      <c r="B259" s="119"/>
      <c r="C259" s="119" t="s">
        <v>18</v>
      </c>
      <c r="D259" s="124"/>
      <c r="E259" s="119">
        <f>SUM(E252:E258)</f>
        <v>25.516666666666666</v>
      </c>
      <c r="F259" s="119">
        <f t="shared" ref="F259:P259" si="63">SUM(F252:F258)</f>
        <v>23.600666666666669</v>
      </c>
      <c r="G259" s="119">
        <f t="shared" si="63"/>
        <v>139.03733333333332</v>
      </c>
      <c r="H259" s="119">
        <f t="shared" si="63"/>
        <v>864.48200000000008</v>
      </c>
      <c r="I259" s="119">
        <f t="shared" si="63"/>
        <v>0.34599999999999997</v>
      </c>
      <c r="J259" s="119">
        <f t="shared" si="63"/>
        <v>3.77</v>
      </c>
      <c r="K259" s="119">
        <f t="shared" si="63"/>
        <v>53</v>
      </c>
      <c r="L259" s="119">
        <f t="shared" si="63"/>
        <v>5.2309999999999999</v>
      </c>
      <c r="M259" s="119">
        <f t="shared" si="63"/>
        <v>149.89699999999999</v>
      </c>
      <c r="N259" s="119">
        <f t="shared" si="63"/>
        <v>342.601</v>
      </c>
      <c r="O259" s="119">
        <f t="shared" si="63"/>
        <v>322.71100000000001</v>
      </c>
      <c r="P259" s="119">
        <f t="shared" si="63"/>
        <v>8.3550000000000004</v>
      </c>
    </row>
    <row r="260" spans="1:16" ht="19.5" customHeight="1">
      <c r="A260" s="27">
        <v>8</v>
      </c>
      <c r="B260" s="136" t="s">
        <v>22</v>
      </c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</row>
    <row r="261" spans="1:16" ht="37.5" customHeight="1">
      <c r="A261" s="27">
        <v>8</v>
      </c>
      <c r="B261" s="61" t="s">
        <v>199</v>
      </c>
      <c r="C261" s="37" t="s">
        <v>244</v>
      </c>
      <c r="D261" s="67">
        <v>100</v>
      </c>
      <c r="E261" s="30">
        <v>12.88</v>
      </c>
      <c r="F261" s="30">
        <v>12.86</v>
      </c>
      <c r="G261" s="30">
        <v>16.38</v>
      </c>
      <c r="H261" s="30">
        <v>236.94</v>
      </c>
      <c r="I261" s="30">
        <v>7.0000000000000007E-2</v>
      </c>
      <c r="J261" s="30">
        <v>3</v>
      </c>
      <c r="K261" s="30">
        <v>82.5</v>
      </c>
      <c r="L261" s="30">
        <v>0.81</v>
      </c>
      <c r="M261" s="30">
        <v>236.94</v>
      </c>
      <c r="N261" s="30">
        <v>192.1</v>
      </c>
      <c r="O261" s="30">
        <v>21.05</v>
      </c>
      <c r="P261" s="30">
        <v>1.2</v>
      </c>
    </row>
    <row r="262" spans="1:16" ht="20.100000000000001" customHeight="1">
      <c r="B262" s="61" t="s">
        <v>181</v>
      </c>
      <c r="C262" s="37" t="s">
        <v>58</v>
      </c>
      <c r="D262" s="67">
        <v>200</v>
      </c>
      <c r="E262" s="30">
        <v>0.28000000000000003</v>
      </c>
      <c r="F262" s="30">
        <v>0.1</v>
      </c>
      <c r="G262" s="30">
        <v>32.880000000000003</v>
      </c>
      <c r="H262" s="30">
        <v>133.54000000000002</v>
      </c>
      <c r="I262" s="30">
        <v>0</v>
      </c>
      <c r="J262" s="30">
        <v>0</v>
      </c>
      <c r="K262" s="30">
        <v>19.3</v>
      </c>
      <c r="L262" s="30">
        <v>0.16</v>
      </c>
      <c r="M262" s="30">
        <v>13.78</v>
      </c>
      <c r="N262" s="30">
        <v>5.78</v>
      </c>
      <c r="O262" s="30">
        <v>7.38</v>
      </c>
      <c r="P262" s="30">
        <v>0.48</v>
      </c>
    </row>
    <row r="263" spans="1:16" ht="17.45" customHeight="1">
      <c r="A263" s="27">
        <v>8</v>
      </c>
      <c r="B263" s="119"/>
      <c r="C263" s="119" t="s">
        <v>18</v>
      </c>
      <c r="D263" s="120"/>
      <c r="E263" s="119">
        <f>SUM(E261:E262)</f>
        <v>13.16</v>
      </c>
      <c r="F263" s="119">
        <f t="shared" ref="F263:P263" si="64">SUM(F261:F262)</f>
        <v>12.959999999999999</v>
      </c>
      <c r="G263" s="119">
        <f t="shared" si="64"/>
        <v>49.260000000000005</v>
      </c>
      <c r="H263" s="119">
        <f t="shared" si="64"/>
        <v>370.48</v>
      </c>
      <c r="I263" s="119">
        <f t="shared" si="64"/>
        <v>7.0000000000000007E-2</v>
      </c>
      <c r="J263" s="119">
        <f t="shared" si="64"/>
        <v>3</v>
      </c>
      <c r="K263" s="119">
        <f t="shared" si="64"/>
        <v>101.8</v>
      </c>
      <c r="L263" s="119">
        <f t="shared" si="64"/>
        <v>0.97000000000000008</v>
      </c>
      <c r="M263" s="119">
        <f t="shared" si="64"/>
        <v>250.72</v>
      </c>
      <c r="N263" s="119">
        <f t="shared" si="64"/>
        <v>197.88</v>
      </c>
      <c r="O263" s="119">
        <f t="shared" si="64"/>
        <v>28.43</v>
      </c>
      <c r="P263" s="119">
        <f t="shared" si="64"/>
        <v>1.68</v>
      </c>
    </row>
    <row r="264" spans="1:16" ht="18.600000000000001" customHeight="1">
      <c r="A264" s="27">
        <v>8</v>
      </c>
      <c r="B264" s="66"/>
      <c r="C264" s="66" t="s">
        <v>33</v>
      </c>
      <c r="D264" s="67"/>
      <c r="E264" s="66">
        <f>SUM(E248+E259+E263)</f>
        <v>58.30916666666667</v>
      </c>
      <c r="F264" s="115">
        <f t="shared" ref="F264:P264" si="65">SUM(F248+F259+F263)</f>
        <v>57.883166666666668</v>
      </c>
      <c r="G264" s="115">
        <f t="shared" si="65"/>
        <v>290.89933333333329</v>
      </c>
      <c r="H264" s="115">
        <f t="shared" si="65"/>
        <v>1950.5345000000002</v>
      </c>
      <c r="I264" s="115">
        <f t="shared" si="65"/>
        <v>0.78950000000000009</v>
      </c>
      <c r="J264" s="115">
        <f t="shared" si="65"/>
        <v>23.923999999999999</v>
      </c>
      <c r="K264" s="115">
        <f t="shared" si="65"/>
        <v>158.46074999999999</v>
      </c>
      <c r="L264" s="115">
        <f t="shared" si="65"/>
        <v>41.583500000000001</v>
      </c>
      <c r="M264" s="115">
        <f t="shared" si="65"/>
        <v>665.24599999999998</v>
      </c>
      <c r="N264" s="115">
        <f t="shared" si="65"/>
        <v>920.88199999999995</v>
      </c>
      <c r="O264" s="115">
        <f t="shared" si="65"/>
        <v>484.53000000000003</v>
      </c>
      <c r="P264" s="115">
        <f t="shared" si="65"/>
        <v>13.385999999999999</v>
      </c>
    </row>
    <row r="265" spans="1:16" s="36" customFormat="1" ht="20.100000000000001" customHeight="1">
      <c r="B265" s="41"/>
      <c r="C265" s="41"/>
      <c r="D265" s="46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</row>
    <row r="266" spans="1:16" s="36" customFormat="1" ht="20.100000000000001" customHeight="1">
      <c r="B266" s="39" t="s">
        <v>125</v>
      </c>
      <c r="C266" s="38"/>
      <c r="D266" s="46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</row>
    <row r="267" spans="1:16" s="36" customFormat="1" ht="20.100000000000001" customHeight="1">
      <c r="B267" s="39" t="s">
        <v>122</v>
      </c>
      <c r="C267" s="38"/>
      <c r="D267" s="46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</row>
    <row r="268" spans="1:16" s="36" customFormat="1" ht="20.100000000000001" customHeight="1">
      <c r="B268" s="39" t="s">
        <v>115</v>
      </c>
      <c r="C268" s="38"/>
      <c r="D268" s="46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</row>
    <row r="269" spans="1:16" s="36" customFormat="1" ht="20.100000000000001" customHeight="1">
      <c r="B269" s="41"/>
      <c r="C269" s="41"/>
      <c r="D269" s="46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</row>
    <row r="270" spans="1:16" s="36" customFormat="1" ht="33.75" customHeight="1">
      <c r="B270" s="137" t="s">
        <v>0</v>
      </c>
      <c r="C270" s="137" t="s">
        <v>1</v>
      </c>
      <c r="D270" s="138" t="s">
        <v>2</v>
      </c>
      <c r="E270" s="136" t="s">
        <v>3</v>
      </c>
      <c r="F270" s="136"/>
      <c r="G270" s="136"/>
      <c r="H270" s="136" t="s">
        <v>4</v>
      </c>
      <c r="I270" s="136" t="s">
        <v>5</v>
      </c>
      <c r="J270" s="136"/>
      <c r="K270" s="136"/>
      <c r="L270" s="136"/>
      <c r="M270" s="136" t="s">
        <v>6</v>
      </c>
      <c r="N270" s="136"/>
      <c r="O270" s="136"/>
      <c r="P270" s="136"/>
    </row>
    <row r="271" spans="1:16" s="36" customFormat="1" ht="41.25" customHeight="1">
      <c r="B271" s="137"/>
      <c r="C271" s="137"/>
      <c r="D271" s="138"/>
      <c r="E271" s="66" t="s">
        <v>7</v>
      </c>
      <c r="F271" s="66" t="s">
        <v>8</v>
      </c>
      <c r="G271" s="66" t="s">
        <v>9</v>
      </c>
      <c r="H271" s="136"/>
      <c r="I271" s="66" t="s">
        <v>116</v>
      </c>
      <c r="J271" s="66" t="s">
        <v>10</v>
      </c>
      <c r="K271" s="66" t="s">
        <v>11</v>
      </c>
      <c r="L271" s="66" t="s">
        <v>12</v>
      </c>
      <c r="M271" s="66" t="s">
        <v>13</v>
      </c>
      <c r="N271" s="66" t="s">
        <v>14</v>
      </c>
      <c r="O271" s="66" t="s">
        <v>15</v>
      </c>
      <c r="P271" s="66" t="s">
        <v>16</v>
      </c>
    </row>
    <row r="272" spans="1:16" ht="20.100000000000001" customHeight="1">
      <c r="A272" s="27">
        <v>9</v>
      </c>
      <c r="B272" s="136" t="s">
        <v>17</v>
      </c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</row>
    <row r="273" spans="1:16" ht="39.6" customHeight="1">
      <c r="B273" s="72" t="s">
        <v>195</v>
      </c>
      <c r="C273" s="71" t="s">
        <v>208</v>
      </c>
      <c r="D273" s="128" t="s">
        <v>313</v>
      </c>
      <c r="E273" s="69">
        <v>12.474</v>
      </c>
      <c r="F273" s="69">
        <v>10.206</v>
      </c>
      <c r="G273" s="69">
        <v>44.94</v>
      </c>
      <c r="H273" s="69">
        <v>321.51</v>
      </c>
      <c r="I273" s="69">
        <v>0.14700000000000002</v>
      </c>
      <c r="J273" s="69">
        <v>2.4359999999999999</v>
      </c>
      <c r="K273" s="69">
        <v>8.4000000000000005E-2</v>
      </c>
      <c r="L273" s="69">
        <v>2.7510000000000003</v>
      </c>
      <c r="M273" s="69">
        <v>100.8</v>
      </c>
      <c r="N273" s="69">
        <v>128.72999999999999</v>
      </c>
      <c r="O273" s="69">
        <v>30.45</v>
      </c>
      <c r="P273" s="69">
        <v>36.854999999999997</v>
      </c>
    </row>
    <row r="274" spans="1:16" ht="22.15" customHeight="1">
      <c r="B274" s="127" t="s">
        <v>209</v>
      </c>
      <c r="C274" s="71" t="s">
        <v>210</v>
      </c>
      <c r="D274" s="128">
        <v>200</v>
      </c>
      <c r="E274" s="69">
        <v>22.34</v>
      </c>
      <c r="F274" s="69">
        <v>24.8</v>
      </c>
      <c r="G274" s="69">
        <v>4.0199999999999996</v>
      </c>
      <c r="H274" s="69">
        <v>444.38</v>
      </c>
      <c r="I274" s="69">
        <v>1.36</v>
      </c>
      <c r="J274" s="69">
        <v>0.1</v>
      </c>
      <c r="K274" s="69">
        <v>6.72</v>
      </c>
      <c r="L274" s="69">
        <v>12.42</v>
      </c>
      <c r="M274" s="69">
        <v>135.88</v>
      </c>
      <c r="N274" s="69">
        <v>26.8</v>
      </c>
      <c r="O274" s="69">
        <v>230.74</v>
      </c>
      <c r="P274" s="69">
        <v>3.06</v>
      </c>
    </row>
    <row r="275" spans="1:16" ht="18.75" customHeight="1">
      <c r="B275" s="61"/>
      <c r="C275" s="71" t="s">
        <v>171</v>
      </c>
      <c r="D275" s="116"/>
      <c r="E275" s="69">
        <f>SUM(E273:E274)/2</f>
        <v>17.407</v>
      </c>
      <c r="F275" s="69">
        <f t="shared" ref="F275:P275" si="66">SUM(F273:F274)/2</f>
        <v>17.503</v>
      </c>
      <c r="G275" s="69">
        <f t="shared" si="66"/>
        <v>24.479999999999997</v>
      </c>
      <c r="H275" s="69">
        <f t="shared" si="66"/>
        <v>382.94499999999999</v>
      </c>
      <c r="I275" s="69">
        <f t="shared" si="66"/>
        <v>0.75350000000000006</v>
      </c>
      <c r="J275" s="69">
        <f t="shared" si="66"/>
        <v>1.268</v>
      </c>
      <c r="K275" s="69">
        <f t="shared" si="66"/>
        <v>3.4019999999999997</v>
      </c>
      <c r="L275" s="69">
        <f t="shared" si="66"/>
        <v>7.5854999999999997</v>
      </c>
      <c r="M275" s="69">
        <f t="shared" si="66"/>
        <v>118.34</v>
      </c>
      <c r="N275" s="69">
        <f t="shared" si="66"/>
        <v>77.765000000000001</v>
      </c>
      <c r="O275" s="69">
        <f t="shared" si="66"/>
        <v>130.595</v>
      </c>
      <c r="P275" s="69">
        <f t="shared" si="66"/>
        <v>19.9575</v>
      </c>
    </row>
    <row r="276" spans="1:16" s="68" customFormat="1" ht="18.75" customHeight="1">
      <c r="B276" s="61" t="s">
        <v>182</v>
      </c>
      <c r="C276" s="71" t="s">
        <v>20</v>
      </c>
      <c r="D276" s="116">
        <v>30</v>
      </c>
      <c r="E276" s="30">
        <v>2.2999999999999998</v>
      </c>
      <c r="F276" s="30">
        <v>0.20000000000000004</v>
      </c>
      <c r="G276" s="30">
        <v>14.8</v>
      </c>
      <c r="H276" s="30">
        <v>70.2</v>
      </c>
      <c r="I276" s="30">
        <v>0</v>
      </c>
      <c r="J276" s="30">
        <v>0</v>
      </c>
      <c r="K276" s="30">
        <v>0</v>
      </c>
      <c r="L276" s="30">
        <v>0.3</v>
      </c>
      <c r="M276" s="30">
        <v>6</v>
      </c>
      <c r="N276" s="30">
        <v>19.5</v>
      </c>
      <c r="O276" s="30">
        <v>4.2</v>
      </c>
      <c r="P276" s="30">
        <v>0.3</v>
      </c>
    </row>
    <row r="277" spans="1:16" ht="20.25" customHeight="1">
      <c r="A277" s="27">
        <v>9</v>
      </c>
      <c r="B277" s="61"/>
      <c r="C277" s="71" t="s">
        <v>299</v>
      </c>
      <c r="D277" s="67">
        <v>60</v>
      </c>
      <c r="E277" s="69">
        <v>3.3</v>
      </c>
      <c r="F277" s="69">
        <v>3.9</v>
      </c>
      <c r="G277" s="69">
        <v>20.94</v>
      </c>
      <c r="H277" s="69">
        <v>132.06</v>
      </c>
      <c r="I277" s="69">
        <v>2.4E-2</v>
      </c>
      <c r="J277" s="69">
        <v>5.3999999999999992E-2</v>
      </c>
      <c r="K277" s="69">
        <v>0.06</v>
      </c>
      <c r="L277" s="69">
        <v>2.52</v>
      </c>
      <c r="M277" s="69">
        <v>18.420000000000002</v>
      </c>
      <c r="N277" s="69">
        <v>34.26</v>
      </c>
      <c r="O277" s="69">
        <v>3.84</v>
      </c>
      <c r="P277" s="69">
        <v>0.42</v>
      </c>
    </row>
    <row r="278" spans="1:16" s="68" customFormat="1" ht="22.15" customHeight="1">
      <c r="B278" s="61"/>
      <c r="C278" s="71" t="s">
        <v>173</v>
      </c>
      <c r="D278" s="90">
        <v>150</v>
      </c>
      <c r="E278" s="69">
        <v>1.3999999999999997</v>
      </c>
      <c r="F278" s="69">
        <v>0.20000000000000004</v>
      </c>
      <c r="G278" s="69">
        <v>24.3</v>
      </c>
      <c r="H278" s="69">
        <v>70.5</v>
      </c>
      <c r="I278" s="69">
        <v>5.9999999999999991E-2</v>
      </c>
      <c r="J278" s="69">
        <v>15</v>
      </c>
      <c r="K278" s="69">
        <v>0</v>
      </c>
      <c r="L278" s="69">
        <v>1.7</v>
      </c>
      <c r="M278" s="69">
        <v>30</v>
      </c>
      <c r="N278" s="69">
        <v>51</v>
      </c>
      <c r="O278" s="69">
        <v>24</v>
      </c>
      <c r="P278" s="69">
        <v>0.9</v>
      </c>
    </row>
    <row r="279" spans="1:16" s="68" customFormat="1" ht="18" customHeight="1">
      <c r="B279" s="61"/>
      <c r="C279" s="71" t="s">
        <v>248</v>
      </c>
      <c r="D279" s="92">
        <v>200</v>
      </c>
      <c r="E279" s="69">
        <v>11.6</v>
      </c>
      <c r="F279" s="69">
        <v>12.8</v>
      </c>
      <c r="G279" s="69">
        <v>18.8</v>
      </c>
      <c r="H279" s="69">
        <v>243.6</v>
      </c>
      <c r="I279" s="69">
        <v>0.2</v>
      </c>
      <c r="J279" s="69">
        <v>5.2</v>
      </c>
      <c r="K279" s="69">
        <v>0</v>
      </c>
      <c r="L279" s="69">
        <v>0</v>
      </c>
      <c r="M279" s="69">
        <v>480</v>
      </c>
      <c r="N279" s="69">
        <v>360</v>
      </c>
      <c r="O279" s="69">
        <v>56</v>
      </c>
      <c r="P279" s="69">
        <v>0.4</v>
      </c>
    </row>
    <row r="280" spans="1:16" ht="20.100000000000001" customHeight="1">
      <c r="A280" s="27">
        <v>9</v>
      </c>
      <c r="B280" s="61" t="s">
        <v>159</v>
      </c>
      <c r="C280" s="37" t="s">
        <v>160</v>
      </c>
      <c r="D280" s="67" t="s">
        <v>130</v>
      </c>
      <c r="E280" s="69">
        <v>0.14000000000000001</v>
      </c>
      <c r="F280" s="69">
        <v>0.02</v>
      </c>
      <c r="G280" s="69">
        <v>15.2</v>
      </c>
      <c r="H280" s="69">
        <v>61.54</v>
      </c>
      <c r="I280" s="69">
        <v>0</v>
      </c>
      <c r="J280" s="69">
        <v>2.84</v>
      </c>
      <c r="K280" s="69">
        <v>0</v>
      </c>
      <c r="L280" s="69">
        <v>0.02</v>
      </c>
      <c r="M280" s="69">
        <v>14.2</v>
      </c>
      <c r="N280" s="69">
        <v>4.4000000000000004</v>
      </c>
      <c r="O280" s="69">
        <v>2.4</v>
      </c>
      <c r="P280" s="69">
        <v>0.36</v>
      </c>
    </row>
    <row r="281" spans="1:16" ht="20.100000000000001" customHeight="1">
      <c r="A281" s="27">
        <v>9</v>
      </c>
      <c r="B281" s="119"/>
      <c r="C281" s="119" t="s">
        <v>18</v>
      </c>
      <c r="D281" s="120"/>
      <c r="E281" s="119">
        <f>SUM(E275:E280)</f>
        <v>36.146999999999998</v>
      </c>
      <c r="F281" s="119">
        <f t="shared" ref="F281:P281" si="67">SUM(F275:F280)</f>
        <v>34.622999999999998</v>
      </c>
      <c r="G281" s="119">
        <f t="shared" si="67"/>
        <v>118.52</v>
      </c>
      <c r="H281" s="119">
        <f t="shared" si="67"/>
        <v>960.84499999999991</v>
      </c>
      <c r="I281" s="119">
        <f t="shared" si="67"/>
        <v>1.0375000000000001</v>
      </c>
      <c r="J281" s="119">
        <f t="shared" si="67"/>
        <v>24.361999999999998</v>
      </c>
      <c r="K281" s="119">
        <f t="shared" si="67"/>
        <v>3.4619999999999997</v>
      </c>
      <c r="L281" s="119">
        <f t="shared" si="67"/>
        <v>12.125499999999999</v>
      </c>
      <c r="M281" s="119">
        <f t="shared" si="67"/>
        <v>666.96</v>
      </c>
      <c r="N281" s="119">
        <f t="shared" si="67"/>
        <v>546.92499999999995</v>
      </c>
      <c r="O281" s="119">
        <f t="shared" si="67"/>
        <v>221.035</v>
      </c>
      <c r="P281" s="119">
        <f t="shared" si="67"/>
        <v>22.337499999999999</v>
      </c>
    </row>
    <row r="282" spans="1:16" ht="20.100000000000001" customHeight="1">
      <c r="A282" s="27">
        <v>9</v>
      </c>
      <c r="B282" s="136" t="s">
        <v>19</v>
      </c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</row>
    <row r="283" spans="1:16" ht="20.100000000000001" customHeight="1">
      <c r="A283" s="27">
        <v>9</v>
      </c>
      <c r="B283" s="127" t="s">
        <v>204</v>
      </c>
      <c r="C283" s="71" t="s">
        <v>327</v>
      </c>
      <c r="D283" s="128">
        <v>100</v>
      </c>
      <c r="E283" s="30">
        <v>1.4</v>
      </c>
      <c r="F283" s="30">
        <v>6</v>
      </c>
      <c r="G283" s="30">
        <v>8.3000000000000007</v>
      </c>
      <c r="H283" s="30">
        <v>92.800000000000011</v>
      </c>
      <c r="I283" s="30">
        <v>0</v>
      </c>
      <c r="J283" s="30">
        <v>9.5</v>
      </c>
      <c r="K283" s="30">
        <v>0</v>
      </c>
      <c r="L283" s="30">
        <v>2.73</v>
      </c>
      <c r="M283" s="30">
        <v>35</v>
      </c>
      <c r="N283" s="30">
        <v>40.9</v>
      </c>
      <c r="O283" s="30">
        <v>20.9</v>
      </c>
      <c r="P283" s="30">
        <v>1.3</v>
      </c>
    </row>
    <row r="284" spans="1:16" ht="36.75" customHeight="1">
      <c r="A284" s="27">
        <v>9</v>
      </c>
      <c r="B284" s="72" t="s">
        <v>328</v>
      </c>
      <c r="C284" s="71" t="s">
        <v>329</v>
      </c>
      <c r="D284" s="128" t="s">
        <v>311</v>
      </c>
      <c r="E284" s="30">
        <v>2</v>
      </c>
      <c r="F284" s="30">
        <v>6.5</v>
      </c>
      <c r="G284" s="30">
        <v>8.35</v>
      </c>
      <c r="H284" s="30">
        <v>99.9</v>
      </c>
      <c r="I284" s="30">
        <v>5.0000000000000001E-3</v>
      </c>
      <c r="J284" s="30">
        <v>0.05</v>
      </c>
      <c r="K284" s="30">
        <v>25.75</v>
      </c>
      <c r="L284" s="30">
        <v>2.2999999999999998</v>
      </c>
      <c r="M284" s="30">
        <v>58.25</v>
      </c>
      <c r="N284" s="30">
        <v>28.25</v>
      </c>
      <c r="O284" s="30">
        <v>50</v>
      </c>
      <c r="P284" s="30">
        <v>0.75</v>
      </c>
    </row>
    <row r="285" spans="1:16" ht="20.100000000000001" customHeight="1">
      <c r="A285" s="27">
        <v>9</v>
      </c>
      <c r="B285" s="127" t="s">
        <v>330</v>
      </c>
      <c r="C285" s="71" t="s">
        <v>53</v>
      </c>
      <c r="D285" s="128">
        <v>100</v>
      </c>
      <c r="E285" s="30">
        <v>20</v>
      </c>
      <c r="F285" s="30">
        <v>16.7</v>
      </c>
      <c r="G285" s="30">
        <v>9.5</v>
      </c>
      <c r="H285" s="30">
        <v>240.3</v>
      </c>
      <c r="I285" s="30">
        <v>0.2</v>
      </c>
      <c r="J285" s="30">
        <v>23.4</v>
      </c>
      <c r="K285" s="30">
        <v>0</v>
      </c>
      <c r="L285" s="30">
        <v>2.2999999999999998</v>
      </c>
      <c r="M285" s="30">
        <v>39.299999999999997</v>
      </c>
      <c r="N285" s="30">
        <v>262.10000000000002</v>
      </c>
      <c r="O285" s="30">
        <v>43.7</v>
      </c>
      <c r="P285" s="30">
        <v>2.1</v>
      </c>
    </row>
    <row r="286" spans="1:16" ht="20.100000000000001" customHeight="1">
      <c r="B286" s="43" t="s">
        <v>295</v>
      </c>
      <c r="C286" s="50" t="s">
        <v>296</v>
      </c>
      <c r="D286" s="49">
        <v>180</v>
      </c>
      <c r="E286" s="30">
        <v>6.6239999999999997</v>
      </c>
      <c r="F286" s="30">
        <v>5.4179999999999993</v>
      </c>
      <c r="G286" s="30">
        <v>28.134</v>
      </c>
      <c r="H286" s="30">
        <v>249.858</v>
      </c>
      <c r="I286" s="30">
        <v>7.2000000000000008E-2</v>
      </c>
      <c r="J286" s="30">
        <v>0</v>
      </c>
      <c r="K286" s="30">
        <v>0.18</v>
      </c>
      <c r="L286" s="30">
        <v>1.17</v>
      </c>
      <c r="M286" s="30">
        <v>5.8320000000000007</v>
      </c>
      <c r="N286" s="30">
        <v>44.604000000000006</v>
      </c>
      <c r="O286" s="30">
        <v>25.344000000000001</v>
      </c>
      <c r="P286" s="30">
        <v>1.3319999999999999</v>
      </c>
    </row>
    <row r="287" spans="1:16" s="68" customFormat="1" ht="20.100000000000001" customHeight="1">
      <c r="B287" s="115" t="s">
        <v>172</v>
      </c>
      <c r="C287" s="71" t="s">
        <v>51</v>
      </c>
      <c r="D287" s="35">
        <v>200</v>
      </c>
      <c r="E287" s="30">
        <v>0.16</v>
      </c>
      <c r="F287" s="30">
        <v>0.16</v>
      </c>
      <c r="G287" s="30">
        <v>19.88</v>
      </c>
      <c r="H287" s="30">
        <v>81.599999999999994</v>
      </c>
      <c r="I287" s="30">
        <v>0.02</v>
      </c>
      <c r="J287" s="30">
        <v>0.9</v>
      </c>
      <c r="K287" s="30">
        <v>0</v>
      </c>
      <c r="L287" s="30">
        <v>0.08</v>
      </c>
      <c r="M287" s="30">
        <v>13.94</v>
      </c>
      <c r="N287" s="30">
        <v>4.4000000000000004</v>
      </c>
      <c r="O287" s="30">
        <v>5.14</v>
      </c>
      <c r="P287" s="30">
        <v>0.93600000000000005</v>
      </c>
    </row>
    <row r="288" spans="1:16" ht="20.100000000000001" customHeight="1">
      <c r="B288" s="43" t="s">
        <v>182</v>
      </c>
      <c r="C288" s="50" t="s">
        <v>20</v>
      </c>
      <c r="D288" s="49">
        <v>40</v>
      </c>
      <c r="E288" s="30">
        <v>3.0666666666666664</v>
      </c>
      <c r="F288" s="30">
        <v>0.26666666666666672</v>
      </c>
      <c r="G288" s="30">
        <v>19.733333333333334</v>
      </c>
      <c r="H288" s="30">
        <v>93.6</v>
      </c>
      <c r="I288" s="30">
        <v>0</v>
      </c>
      <c r="J288" s="30">
        <v>0</v>
      </c>
      <c r="K288" s="30">
        <v>0</v>
      </c>
      <c r="L288" s="30">
        <v>0.4</v>
      </c>
      <c r="M288" s="30">
        <v>8</v>
      </c>
      <c r="N288" s="30">
        <v>26</v>
      </c>
      <c r="O288" s="30">
        <v>5.6000000000000014</v>
      </c>
      <c r="P288" s="30">
        <v>0.4</v>
      </c>
    </row>
    <row r="289" spans="1:16" s="68" customFormat="1" ht="20.100000000000001" customHeight="1">
      <c r="B289" s="43" t="s">
        <v>192</v>
      </c>
      <c r="C289" s="50" t="s">
        <v>21</v>
      </c>
      <c r="D289" s="49">
        <v>50</v>
      </c>
      <c r="E289" s="30">
        <v>3.25</v>
      </c>
      <c r="F289" s="30">
        <v>0.625</v>
      </c>
      <c r="G289" s="30">
        <v>19.75</v>
      </c>
      <c r="H289" s="30">
        <v>97.625</v>
      </c>
      <c r="I289" s="30">
        <v>0.125</v>
      </c>
      <c r="J289" s="30">
        <v>0</v>
      </c>
      <c r="K289" s="30">
        <v>0</v>
      </c>
      <c r="L289" s="30">
        <v>0.75</v>
      </c>
      <c r="M289" s="30">
        <v>14.499999999999998</v>
      </c>
      <c r="N289" s="30">
        <v>75</v>
      </c>
      <c r="O289" s="30">
        <v>23.5</v>
      </c>
      <c r="P289" s="30">
        <v>2</v>
      </c>
    </row>
    <row r="290" spans="1:16" ht="20.100000000000001" customHeight="1">
      <c r="A290" s="27">
        <v>9</v>
      </c>
      <c r="B290" s="119"/>
      <c r="C290" s="119" t="s">
        <v>18</v>
      </c>
      <c r="D290" s="120"/>
      <c r="E290" s="119">
        <f>SUM(E283:E289)</f>
        <v>36.50066666666666</v>
      </c>
      <c r="F290" s="119">
        <f t="shared" ref="F290:P290" si="68">SUM(F283:F289)</f>
        <v>35.669666666666657</v>
      </c>
      <c r="G290" s="119">
        <f t="shared" si="68"/>
        <v>113.64733333333334</v>
      </c>
      <c r="H290" s="119">
        <f t="shared" si="68"/>
        <v>955.68299999999999</v>
      </c>
      <c r="I290" s="119">
        <f t="shared" si="68"/>
        <v>0.42200000000000004</v>
      </c>
      <c r="J290" s="119">
        <f t="shared" si="68"/>
        <v>33.85</v>
      </c>
      <c r="K290" s="119">
        <f t="shared" si="68"/>
        <v>25.93</v>
      </c>
      <c r="L290" s="119">
        <f t="shared" si="68"/>
        <v>9.73</v>
      </c>
      <c r="M290" s="119">
        <f t="shared" si="68"/>
        <v>174.822</v>
      </c>
      <c r="N290" s="119">
        <f t="shared" si="68"/>
        <v>481.25399999999996</v>
      </c>
      <c r="O290" s="119">
        <f t="shared" si="68"/>
        <v>174.184</v>
      </c>
      <c r="P290" s="119">
        <f t="shared" si="68"/>
        <v>8.8180000000000014</v>
      </c>
    </row>
    <row r="291" spans="1:16" ht="15" customHeight="1">
      <c r="A291" s="27">
        <v>9</v>
      </c>
      <c r="B291" s="136" t="s">
        <v>22</v>
      </c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</row>
    <row r="292" spans="1:16" ht="21" customHeight="1">
      <c r="A292" s="27">
        <v>9</v>
      </c>
      <c r="B292" s="127" t="s">
        <v>226</v>
      </c>
      <c r="C292" s="71" t="s">
        <v>225</v>
      </c>
      <c r="D292" s="128" t="s">
        <v>313</v>
      </c>
      <c r="E292" s="30">
        <v>14.741999999999997</v>
      </c>
      <c r="F292" s="30">
        <v>21.524999999999999</v>
      </c>
      <c r="G292" s="30">
        <v>64.028999999999996</v>
      </c>
      <c r="H292" s="30">
        <v>508.80900000000003</v>
      </c>
      <c r="I292" s="30">
        <v>0.29400000000000004</v>
      </c>
      <c r="J292" s="30">
        <v>0.77700000000000002</v>
      </c>
      <c r="K292" s="30">
        <v>4.2000000000000003E-2</v>
      </c>
      <c r="L292" s="30">
        <v>6.2579999999999991</v>
      </c>
      <c r="M292" s="30">
        <v>165.102</v>
      </c>
      <c r="N292" s="30">
        <v>230.34899999999999</v>
      </c>
      <c r="O292" s="30">
        <v>63.650999999999996</v>
      </c>
      <c r="P292" s="30">
        <v>2.7510000000000003</v>
      </c>
    </row>
    <row r="293" spans="1:16" ht="20.100000000000001" customHeight="1">
      <c r="A293" s="27">
        <v>9</v>
      </c>
      <c r="B293" s="61" t="s">
        <v>193</v>
      </c>
      <c r="C293" s="71" t="s">
        <v>54</v>
      </c>
      <c r="D293" s="116">
        <v>200</v>
      </c>
      <c r="E293" s="30">
        <v>0.57999999999999996</v>
      </c>
      <c r="F293" s="30">
        <v>0.06</v>
      </c>
      <c r="G293" s="30">
        <v>30.2</v>
      </c>
      <c r="H293" s="30">
        <v>123.66</v>
      </c>
      <c r="I293" s="30">
        <v>0</v>
      </c>
      <c r="J293" s="30">
        <v>1.1000000000000001</v>
      </c>
      <c r="K293" s="30">
        <v>0</v>
      </c>
      <c r="L293" s="30">
        <v>0.18</v>
      </c>
      <c r="M293" s="30">
        <v>15.7</v>
      </c>
      <c r="N293" s="30">
        <v>16.32</v>
      </c>
      <c r="O293" s="30">
        <v>3.36</v>
      </c>
      <c r="P293" s="30">
        <v>0.38</v>
      </c>
    </row>
    <row r="294" spans="1:16" ht="19.5" customHeight="1">
      <c r="A294" s="27">
        <v>9</v>
      </c>
      <c r="B294" s="123"/>
      <c r="C294" s="119" t="s">
        <v>18</v>
      </c>
      <c r="D294" s="120"/>
      <c r="E294" s="119">
        <f>SUM(E292:E293)</f>
        <v>15.321999999999997</v>
      </c>
      <c r="F294" s="119">
        <f t="shared" ref="F294:P294" si="69">SUM(F292:F293)</f>
        <v>21.584999999999997</v>
      </c>
      <c r="G294" s="119">
        <f t="shared" si="69"/>
        <v>94.228999999999999</v>
      </c>
      <c r="H294" s="119">
        <f t="shared" si="69"/>
        <v>632.46900000000005</v>
      </c>
      <c r="I294" s="119">
        <f t="shared" si="69"/>
        <v>0.29400000000000004</v>
      </c>
      <c r="J294" s="119">
        <f t="shared" si="69"/>
        <v>1.8770000000000002</v>
      </c>
      <c r="K294" s="119">
        <f t="shared" si="69"/>
        <v>4.2000000000000003E-2</v>
      </c>
      <c r="L294" s="119">
        <f t="shared" si="69"/>
        <v>6.4379999999999988</v>
      </c>
      <c r="M294" s="119">
        <f t="shared" si="69"/>
        <v>180.80199999999999</v>
      </c>
      <c r="N294" s="119">
        <f t="shared" si="69"/>
        <v>246.66899999999998</v>
      </c>
      <c r="O294" s="119">
        <f t="shared" si="69"/>
        <v>67.010999999999996</v>
      </c>
      <c r="P294" s="119">
        <f t="shared" si="69"/>
        <v>3.1310000000000002</v>
      </c>
    </row>
    <row r="295" spans="1:16" ht="20.100000000000001" customHeight="1">
      <c r="A295" s="27">
        <v>9</v>
      </c>
      <c r="B295" s="66"/>
      <c r="C295" s="66" t="s">
        <v>34</v>
      </c>
      <c r="D295" s="67"/>
      <c r="E295" s="66">
        <f>SUM(E281+E290+E294)</f>
        <v>87.969666666666654</v>
      </c>
      <c r="F295" s="115">
        <f t="shared" ref="F295:P295" si="70">SUM(F281+F290+F294)</f>
        <v>91.877666666666656</v>
      </c>
      <c r="G295" s="115">
        <f t="shared" si="70"/>
        <v>326.3963333333333</v>
      </c>
      <c r="H295" s="115">
        <f t="shared" si="70"/>
        <v>2548.9969999999998</v>
      </c>
      <c r="I295" s="115">
        <f t="shared" si="70"/>
        <v>1.7535000000000003</v>
      </c>
      <c r="J295" s="115">
        <f t="shared" si="70"/>
        <v>60.089000000000006</v>
      </c>
      <c r="K295" s="115">
        <f t="shared" si="70"/>
        <v>29.434000000000001</v>
      </c>
      <c r="L295" s="115">
        <f t="shared" si="70"/>
        <v>28.293499999999998</v>
      </c>
      <c r="M295" s="115">
        <f t="shared" si="70"/>
        <v>1022.5840000000001</v>
      </c>
      <c r="N295" s="115">
        <f t="shared" si="70"/>
        <v>1274.848</v>
      </c>
      <c r="O295" s="115">
        <f t="shared" si="70"/>
        <v>462.23</v>
      </c>
      <c r="P295" s="115">
        <f t="shared" si="70"/>
        <v>34.286500000000004</v>
      </c>
    </row>
    <row r="296" spans="1:16" s="36" customFormat="1" ht="20.100000000000001" customHeight="1">
      <c r="B296" s="41"/>
      <c r="C296" s="41"/>
      <c r="D296" s="46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</row>
    <row r="297" spans="1:16" s="36" customFormat="1" ht="20.100000000000001" customHeight="1">
      <c r="B297" s="39" t="s">
        <v>126</v>
      </c>
      <c r="C297" s="38"/>
      <c r="D297" s="46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</row>
    <row r="298" spans="1:16" s="36" customFormat="1" ht="20.100000000000001" customHeight="1">
      <c r="B298" s="39" t="s">
        <v>122</v>
      </c>
      <c r="C298" s="38"/>
      <c r="D298" s="46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</row>
    <row r="299" spans="1:16" s="36" customFormat="1" ht="20.100000000000001" customHeight="1">
      <c r="B299" s="39" t="s">
        <v>115</v>
      </c>
      <c r="C299" s="38"/>
      <c r="D299" s="46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</row>
    <row r="300" spans="1:16" s="36" customFormat="1" ht="20.100000000000001" customHeight="1">
      <c r="B300" s="41"/>
      <c r="C300" s="41"/>
      <c r="D300" s="46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</row>
    <row r="301" spans="1:16" s="36" customFormat="1" ht="37.5" customHeight="1">
      <c r="B301" s="137" t="s">
        <v>0</v>
      </c>
      <c r="C301" s="137" t="s">
        <v>284</v>
      </c>
      <c r="D301" s="138" t="s">
        <v>2</v>
      </c>
      <c r="E301" s="136" t="s">
        <v>3</v>
      </c>
      <c r="F301" s="136"/>
      <c r="G301" s="136"/>
      <c r="H301" s="136" t="s">
        <v>4</v>
      </c>
      <c r="I301" s="136" t="s">
        <v>5</v>
      </c>
      <c r="J301" s="136"/>
      <c r="K301" s="136"/>
      <c r="L301" s="136"/>
      <c r="M301" s="136" t="s">
        <v>6</v>
      </c>
      <c r="N301" s="136"/>
      <c r="O301" s="136"/>
      <c r="P301" s="136"/>
    </row>
    <row r="302" spans="1:16" s="36" customFormat="1" ht="35.450000000000003" customHeight="1">
      <c r="B302" s="137"/>
      <c r="C302" s="137"/>
      <c r="D302" s="138"/>
      <c r="E302" s="66" t="s">
        <v>7</v>
      </c>
      <c r="F302" s="66" t="s">
        <v>8</v>
      </c>
      <c r="G302" s="66" t="s">
        <v>9</v>
      </c>
      <c r="H302" s="136"/>
      <c r="I302" s="66" t="s">
        <v>116</v>
      </c>
      <c r="J302" s="66" t="s">
        <v>10</v>
      </c>
      <c r="K302" s="66" t="s">
        <v>11</v>
      </c>
      <c r="L302" s="66" t="s">
        <v>12</v>
      </c>
      <c r="M302" s="66" t="s">
        <v>13</v>
      </c>
      <c r="N302" s="66" t="s">
        <v>14</v>
      </c>
      <c r="O302" s="66" t="s">
        <v>15</v>
      </c>
      <c r="P302" s="66" t="s">
        <v>16</v>
      </c>
    </row>
    <row r="303" spans="1:16" ht="21.75" customHeight="1">
      <c r="A303" s="27">
        <v>10</v>
      </c>
      <c r="B303" s="136" t="s">
        <v>17</v>
      </c>
      <c r="C303" s="136"/>
      <c r="D303" s="136"/>
      <c r="E303" s="136"/>
      <c r="F303" s="136"/>
      <c r="G303" s="136"/>
      <c r="H303" s="141"/>
      <c r="I303" s="141"/>
      <c r="J303" s="141"/>
      <c r="K303" s="141"/>
      <c r="L303" s="141"/>
      <c r="M303" s="141"/>
      <c r="N303" s="141"/>
      <c r="O303" s="141"/>
      <c r="P303" s="141"/>
    </row>
    <row r="304" spans="1:16" ht="25.5" customHeight="1">
      <c r="B304" s="133" t="s">
        <v>241</v>
      </c>
      <c r="C304" s="71" t="s">
        <v>242</v>
      </c>
      <c r="D304" s="128" t="s">
        <v>305</v>
      </c>
      <c r="E304" s="51">
        <v>11.48</v>
      </c>
      <c r="F304" s="51">
        <v>12.259</v>
      </c>
      <c r="G304" s="51">
        <v>47.724000000000004</v>
      </c>
      <c r="H304" s="51">
        <v>341.32499999999999</v>
      </c>
      <c r="I304" s="51">
        <v>6.1499999999999992E-2</v>
      </c>
      <c r="J304" s="51">
        <v>6.56</v>
      </c>
      <c r="K304" s="51">
        <v>0.41</v>
      </c>
      <c r="L304" s="51">
        <v>2.0499999999999998</v>
      </c>
      <c r="M304" s="51">
        <v>177.59149999999997</v>
      </c>
      <c r="N304" s="51">
        <v>193.11</v>
      </c>
      <c r="O304" s="51">
        <v>41.163999999999994</v>
      </c>
      <c r="P304" s="51">
        <v>0.61499999999999999</v>
      </c>
    </row>
    <row r="305" spans="1:16" ht="18" customHeight="1">
      <c r="B305" s="65" t="s">
        <v>188</v>
      </c>
      <c r="C305" s="71" t="s">
        <v>24</v>
      </c>
      <c r="D305" s="116">
        <v>30</v>
      </c>
      <c r="E305" s="51">
        <v>3.2</v>
      </c>
      <c r="F305" s="51">
        <v>0.1</v>
      </c>
      <c r="G305" s="51">
        <v>21.2</v>
      </c>
      <c r="H305" s="51">
        <v>108</v>
      </c>
      <c r="I305" s="51">
        <v>0.08</v>
      </c>
      <c r="J305" s="51">
        <v>1.6</v>
      </c>
      <c r="K305" s="51">
        <v>0</v>
      </c>
      <c r="L305" s="51">
        <v>0</v>
      </c>
      <c r="M305" s="51">
        <v>15.2</v>
      </c>
      <c r="N305" s="51">
        <v>52</v>
      </c>
      <c r="O305" s="51">
        <v>10.4</v>
      </c>
      <c r="P305" s="51">
        <v>1</v>
      </c>
    </row>
    <row r="306" spans="1:16" s="68" customFormat="1" ht="17.45" customHeight="1">
      <c r="B306" s="65" t="s">
        <v>211</v>
      </c>
      <c r="C306" s="71" t="s">
        <v>136</v>
      </c>
      <c r="D306" s="116">
        <v>10</v>
      </c>
      <c r="E306" s="51">
        <v>0.08</v>
      </c>
      <c r="F306" s="51">
        <v>7.25</v>
      </c>
      <c r="G306" s="51">
        <v>0.13</v>
      </c>
      <c r="H306" s="51">
        <v>66.099999999999994</v>
      </c>
      <c r="I306" s="51">
        <v>1E-3</v>
      </c>
      <c r="J306" s="51">
        <v>0</v>
      </c>
      <c r="K306" s="51">
        <v>0.04</v>
      </c>
      <c r="L306" s="51">
        <v>0.1</v>
      </c>
      <c r="M306" s="51">
        <v>2.4</v>
      </c>
      <c r="N306" s="51">
        <v>3</v>
      </c>
      <c r="O306" s="51">
        <v>0</v>
      </c>
      <c r="P306" s="51">
        <v>0.02</v>
      </c>
    </row>
    <row r="307" spans="1:16" ht="18" customHeight="1">
      <c r="B307" s="65"/>
      <c r="C307" s="71" t="s">
        <v>274</v>
      </c>
      <c r="D307" s="116">
        <v>100</v>
      </c>
      <c r="E307" s="51">
        <v>2.7</v>
      </c>
      <c r="F307" s="51">
        <v>3</v>
      </c>
      <c r="G307" s="51">
        <v>17</v>
      </c>
      <c r="H307" s="51">
        <v>110</v>
      </c>
      <c r="I307" s="51">
        <v>0.1</v>
      </c>
      <c r="J307" s="51">
        <v>1.4</v>
      </c>
      <c r="K307" s="51">
        <v>0.4</v>
      </c>
      <c r="L307" s="51">
        <v>0.1</v>
      </c>
      <c r="M307" s="51">
        <v>240</v>
      </c>
      <c r="N307" s="51">
        <v>165</v>
      </c>
      <c r="O307" s="51">
        <v>28</v>
      </c>
      <c r="P307" s="51">
        <v>0.2</v>
      </c>
    </row>
    <row r="308" spans="1:16" s="68" customFormat="1" ht="18" customHeight="1">
      <c r="B308" s="65"/>
      <c r="C308" s="71" t="s">
        <v>247</v>
      </c>
      <c r="D308" s="116">
        <v>35</v>
      </c>
      <c r="E308" s="51">
        <v>1.925</v>
      </c>
      <c r="F308" s="51">
        <v>2.2749999999999999</v>
      </c>
      <c r="G308" s="51">
        <v>12.215</v>
      </c>
      <c r="H308" s="51">
        <v>0</v>
      </c>
      <c r="I308" s="51">
        <v>1.4000000000000002E-2</v>
      </c>
      <c r="J308" s="51">
        <v>3.15E-2</v>
      </c>
      <c r="K308" s="51">
        <v>3.5000000000000003E-2</v>
      </c>
      <c r="L308" s="51">
        <v>1.47</v>
      </c>
      <c r="M308" s="51">
        <v>10.744999999999999</v>
      </c>
      <c r="N308" s="51">
        <v>19.984999999999999</v>
      </c>
      <c r="O308" s="51">
        <v>2.2400000000000002</v>
      </c>
      <c r="P308" s="51">
        <v>0.245</v>
      </c>
    </row>
    <row r="309" spans="1:16" s="68" customFormat="1" ht="18" customHeight="1">
      <c r="B309" s="65"/>
      <c r="C309" s="71" t="s">
        <v>171</v>
      </c>
      <c r="D309" s="116"/>
      <c r="E309" s="51">
        <f>SUM(E307:E308)/2</f>
        <v>2.3125</v>
      </c>
      <c r="F309" s="51">
        <f t="shared" ref="F309:P309" si="71">SUM(F307:F308)/2</f>
        <v>2.6375000000000002</v>
      </c>
      <c r="G309" s="51">
        <f t="shared" si="71"/>
        <v>14.6075</v>
      </c>
      <c r="H309" s="51">
        <f t="shared" si="71"/>
        <v>55</v>
      </c>
      <c r="I309" s="51">
        <f t="shared" si="71"/>
        <v>5.7000000000000002E-2</v>
      </c>
      <c r="J309" s="51">
        <f t="shared" si="71"/>
        <v>0.71575</v>
      </c>
      <c r="K309" s="51">
        <f t="shared" si="71"/>
        <v>0.21750000000000003</v>
      </c>
      <c r="L309" s="51">
        <f t="shared" si="71"/>
        <v>0.78500000000000003</v>
      </c>
      <c r="M309" s="51">
        <f t="shared" si="71"/>
        <v>125.3725</v>
      </c>
      <c r="N309" s="51">
        <f t="shared" si="71"/>
        <v>92.492500000000007</v>
      </c>
      <c r="O309" s="51">
        <f t="shared" si="71"/>
        <v>15.120000000000001</v>
      </c>
      <c r="P309" s="51">
        <f t="shared" si="71"/>
        <v>0.2225</v>
      </c>
    </row>
    <row r="310" spans="1:16" ht="17.45" customHeight="1">
      <c r="A310" s="27">
        <v>10</v>
      </c>
      <c r="B310" s="65" t="s">
        <v>164</v>
      </c>
      <c r="C310" s="71" t="s">
        <v>26</v>
      </c>
      <c r="D310" s="116" t="s">
        <v>132</v>
      </c>
      <c r="E310" s="51">
        <v>0.08</v>
      </c>
      <c r="F310" s="51">
        <v>0.02</v>
      </c>
      <c r="G310" s="51">
        <v>15</v>
      </c>
      <c r="H310" s="51">
        <v>60.5</v>
      </c>
      <c r="I310" s="51">
        <v>0</v>
      </c>
      <c r="J310" s="51">
        <v>0</v>
      </c>
      <c r="K310" s="51">
        <v>0.04</v>
      </c>
      <c r="L310" s="51">
        <v>0</v>
      </c>
      <c r="M310" s="51">
        <v>11.1</v>
      </c>
      <c r="N310" s="51">
        <v>1.4</v>
      </c>
      <c r="O310" s="51">
        <v>2.8</v>
      </c>
      <c r="P310" s="51">
        <v>0.28000000000000003</v>
      </c>
    </row>
    <row r="311" spans="1:16" ht="20.25" customHeight="1">
      <c r="A311" s="27">
        <v>10</v>
      </c>
      <c r="B311" s="119"/>
      <c r="C311" s="119" t="s">
        <v>18</v>
      </c>
      <c r="D311" s="120"/>
      <c r="E311" s="119">
        <f>SUM(E304+E305+E306+E309+E310)</f>
        <v>17.152499999999996</v>
      </c>
      <c r="F311" s="119">
        <f t="shared" ref="F311:P311" si="72">SUM(F304+F305+F306+F309+F310)</f>
        <v>22.266500000000001</v>
      </c>
      <c r="G311" s="119">
        <f t="shared" si="72"/>
        <v>98.661500000000004</v>
      </c>
      <c r="H311" s="119">
        <f t="shared" si="72"/>
        <v>630.92499999999995</v>
      </c>
      <c r="I311" s="119">
        <f t="shared" si="72"/>
        <v>0.19949999999999998</v>
      </c>
      <c r="J311" s="119">
        <f t="shared" si="72"/>
        <v>8.87575</v>
      </c>
      <c r="K311" s="119">
        <f t="shared" si="72"/>
        <v>0.70750000000000002</v>
      </c>
      <c r="L311" s="119">
        <f t="shared" si="72"/>
        <v>2.9350000000000001</v>
      </c>
      <c r="M311" s="119">
        <f t="shared" si="72"/>
        <v>331.66399999999999</v>
      </c>
      <c r="N311" s="119">
        <f t="shared" si="72"/>
        <v>342.0025</v>
      </c>
      <c r="O311" s="119">
        <f t="shared" si="72"/>
        <v>69.483999999999995</v>
      </c>
      <c r="P311" s="119">
        <f t="shared" si="72"/>
        <v>2.1375000000000002</v>
      </c>
    </row>
    <row r="312" spans="1:16" ht="18" customHeight="1">
      <c r="A312" s="27">
        <v>10</v>
      </c>
      <c r="B312" s="136" t="s">
        <v>19</v>
      </c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</row>
    <row r="313" spans="1:16" ht="24" customHeight="1">
      <c r="A313" s="27">
        <v>10</v>
      </c>
      <c r="B313" s="127" t="s">
        <v>319</v>
      </c>
      <c r="C313" s="71" t="s">
        <v>320</v>
      </c>
      <c r="D313" s="128">
        <v>100</v>
      </c>
      <c r="E313" s="30">
        <v>1.5</v>
      </c>
      <c r="F313" s="30">
        <v>5.0999999999999996</v>
      </c>
      <c r="G313" s="30">
        <v>7.9</v>
      </c>
      <c r="H313" s="30">
        <v>83.5</v>
      </c>
      <c r="I313" s="30">
        <v>0</v>
      </c>
      <c r="J313" s="30">
        <v>33</v>
      </c>
      <c r="K313" s="30">
        <v>0</v>
      </c>
      <c r="L313" s="30">
        <v>3.9</v>
      </c>
      <c r="M313" s="30">
        <v>43.6</v>
      </c>
      <c r="N313" s="30">
        <v>35</v>
      </c>
      <c r="O313" s="30">
        <v>18.5</v>
      </c>
      <c r="P313" s="30">
        <v>0.6</v>
      </c>
    </row>
    <row r="314" spans="1:16" ht="26.25" customHeight="1">
      <c r="B314" s="127" t="s">
        <v>201</v>
      </c>
      <c r="C314" s="71" t="s">
        <v>315</v>
      </c>
      <c r="D314" s="128">
        <v>100</v>
      </c>
      <c r="E314" s="30">
        <v>1.41</v>
      </c>
      <c r="F314" s="30">
        <v>5.08</v>
      </c>
      <c r="G314" s="30">
        <v>9.02</v>
      </c>
      <c r="H314" s="30">
        <v>87.44</v>
      </c>
      <c r="I314" s="30">
        <v>0.03</v>
      </c>
      <c r="J314" s="30">
        <v>32.450000000000003</v>
      </c>
      <c r="K314" s="30">
        <v>0</v>
      </c>
      <c r="L314" s="30">
        <v>2.31</v>
      </c>
      <c r="M314" s="30">
        <v>37.369999999999997</v>
      </c>
      <c r="N314" s="30">
        <v>27.61</v>
      </c>
      <c r="O314" s="30">
        <v>15.16</v>
      </c>
      <c r="P314" s="30">
        <v>0.51</v>
      </c>
    </row>
    <row r="315" spans="1:16" ht="18" customHeight="1">
      <c r="A315" s="27">
        <v>10</v>
      </c>
      <c r="B315" s="115"/>
      <c r="C315" s="71" t="s">
        <v>171</v>
      </c>
      <c r="D315" s="116"/>
      <c r="E315" s="30">
        <f>SUM(E313:E314)/2</f>
        <v>1.4550000000000001</v>
      </c>
      <c r="F315" s="30">
        <f t="shared" ref="F315:P315" si="73">SUM(F313:F314)/2</f>
        <v>5.09</v>
      </c>
      <c r="G315" s="30">
        <f t="shared" si="73"/>
        <v>8.4600000000000009</v>
      </c>
      <c r="H315" s="30">
        <f t="shared" si="73"/>
        <v>85.47</v>
      </c>
      <c r="I315" s="30">
        <f t="shared" si="73"/>
        <v>1.4999999999999999E-2</v>
      </c>
      <c r="J315" s="30">
        <f t="shared" si="73"/>
        <v>32.725000000000001</v>
      </c>
      <c r="K315" s="30">
        <f t="shared" si="73"/>
        <v>0</v>
      </c>
      <c r="L315" s="30">
        <f t="shared" si="73"/>
        <v>3.105</v>
      </c>
      <c r="M315" s="30">
        <f t="shared" si="73"/>
        <v>40.484999999999999</v>
      </c>
      <c r="N315" s="30">
        <f t="shared" si="73"/>
        <v>31.305</v>
      </c>
      <c r="O315" s="30">
        <f t="shared" si="73"/>
        <v>16.829999999999998</v>
      </c>
      <c r="P315" s="30">
        <f t="shared" si="73"/>
        <v>0.55499999999999994</v>
      </c>
    </row>
    <row r="316" spans="1:16" s="68" customFormat="1" ht="18" customHeight="1">
      <c r="B316" s="127" t="s">
        <v>202</v>
      </c>
      <c r="C316" s="71" t="s">
        <v>331</v>
      </c>
      <c r="D316" s="128">
        <v>250</v>
      </c>
      <c r="E316" s="30">
        <v>2.75</v>
      </c>
      <c r="F316" s="30">
        <v>2.75</v>
      </c>
      <c r="G316" s="30">
        <v>17.5</v>
      </c>
      <c r="H316" s="30">
        <v>117.5</v>
      </c>
      <c r="I316" s="30">
        <v>0</v>
      </c>
      <c r="J316" s="30">
        <v>0</v>
      </c>
      <c r="K316" s="30">
        <v>8.25</v>
      </c>
      <c r="L316" s="30">
        <v>1.25</v>
      </c>
      <c r="M316" s="30">
        <v>29.25</v>
      </c>
      <c r="N316" s="30">
        <v>35.5</v>
      </c>
      <c r="O316" s="30">
        <v>67.5</v>
      </c>
      <c r="P316" s="30">
        <v>1.25</v>
      </c>
    </row>
    <row r="317" spans="1:16" s="68" customFormat="1" ht="18" customHeight="1">
      <c r="B317" s="127" t="s">
        <v>205</v>
      </c>
      <c r="C317" s="71" t="s">
        <v>332</v>
      </c>
      <c r="D317" s="128">
        <v>100</v>
      </c>
      <c r="E317" s="30">
        <v>10.9</v>
      </c>
      <c r="F317" s="30">
        <v>9.6</v>
      </c>
      <c r="G317" s="30">
        <v>12</v>
      </c>
      <c r="H317" s="30">
        <v>178</v>
      </c>
      <c r="I317" s="30">
        <v>0.2</v>
      </c>
      <c r="J317" s="30">
        <v>0.1</v>
      </c>
      <c r="K317" s="30">
        <v>0.7</v>
      </c>
      <c r="L317" s="30">
        <v>3.2</v>
      </c>
      <c r="M317" s="30">
        <v>119.2</v>
      </c>
      <c r="N317" s="30">
        <v>45.7</v>
      </c>
      <c r="O317" s="30">
        <v>223.7</v>
      </c>
      <c r="P317" s="30">
        <v>1.2</v>
      </c>
    </row>
    <row r="318" spans="1:16" s="68" customFormat="1" ht="18" customHeight="1">
      <c r="B318" s="127" t="s">
        <v>169</v>
      </c>
      <c r="C318" s="71" t="s">
        <v>333</v>
      </c>
      <c r="D318" s="128">
        <v>180</v>
      </c>
      <c r="E318" s="30">
        <v>3.6719999999999997</v>
      </c>
      <c r="F318" s="30">
        <v>5.76</v>
      </c>
      <c r="G318" s="30">
        <v>19.079999999999998</v>
      </c>
      <c r="H318" s="30">
        <v>142.84799999999998</v>
      </c>
      <c r="I318" s="30">
        <v>0.16200000000000001</v>
      </c>
      <c r="J318" s="30">
        <v>21.797999999999998</v>
      </c>
      <c r="K318" s="30">
        <v>3.6000000000000004E-2</v>
      </c>
      <c r="L318" s="30">
        <v>0.21599999999999997</v>
      </c>
      <c r="M318" s="30">
        <v>44.37</v>
      </c>
      <c r="N318" s="30">
        <v>103.914</v>
      </c>
      <c r="O318" s="30">
        <v>33.299999999999997</v>
      </c>
      <c r="P318" s="30">
        <v>1.2060000000000002</v>
      </c>
    </row>
    <row r="319" spans="1:16" s="68" customFormat="1" ht="18" customHeight="1">
      <c r="B319" s="127" t="s">
        <v>216</v>
      </c>
      <c r="C319" s="71" t="s">
        <v>217</v>
      </c>
      <c r="D319" s="128">
        <v>180</v>
      </c>
      <c r="E319" s="30">
        <v>3.222</v>
      </c>
      <c r="F319" s="30">
        <v>18.594000000000001</v>
      </c>
      <c r="G319" s="30">
        <v>24.408000000000001</v>
      </c>
      <c r="H319" s="30">
        <v>277.93799999999999</v>
      </c>
      <c r="I319" s="30">
        <v>0.18</v>
      </c>
      <c r="J319" s="30">
        <v>41.85</v>
      </c>
      <c r="K319" s="30">
        <v>0</v>
      </c>
      <c r="L319" s="30">
        <v>8.0640000000000001</v>
      </c>
      <c r="M319" s="30">
        <v>43.92</v>
      </c>
      <c r="N319" s="30">
        <v>94.716000000000008</v>
      </c>
      <c r="O319" s="30">
        <v>41.238</v>
      </c>
      <c r="P319" s="30">
        <v>1.548</v>
      </c>
    </row>
    <row r="320" spans="1:16" ht="18.75" customHeight="1">
      <c r="A320" s="27">
        <v>10</v>
      </c>
      <c r="B320" s="115"/>
      <c r="C320" s="71" t="s">
        <v>171</v>
      </c>
      <c r="D320" s="116"/>
      <c r="E320" s="30">
        <f>SUM(E318:E319)/2</f>
        <v>3.4470000000000001</v>
      </c>
      <c r="F320" s="30">
        <f t="shared" ref="F320:P320" si="74">SUM(F318:F319)/2</f>
        <v>12.177</v>
      </c>
      <c r="G320" s="30">
        <f t="shared" si="74"/>
        <v>21.744</v>
      </c>
      <c r="H320" s="30">
        <f t="shared" si="74"/>
        <v>210.39299999999997</v>
      </c>
      <c r="I320" s="30">
        <f t="shared" si="74"/>
        <v>0.17099999999999999</v>
      </c>
      <c r="J320" s="30">
        <f t="shared" si="74"/>
        <v>31.823999999999998</v>
      </c>
      <c r="K320" s="30">
        <f t="shared" si="74"/>
        <v>1.8000000000000002E-2</v>
      </c>
      <c r="L320" s="30">
        <f t="shared" si="74"/>
        <v>4.1399999999999997</v>
      </c>
      <c r="M320" s="30">
        <f t="shared" si="74"/>
        <v>44.144999999999996</v>
      </c>
      <c r="N320" s="30">
        <f t="shared" si="74"/>
        <v>99.314999999999998</v>
      </c>
      <c r="O320" s="30">
        <f t="shared" si="74"/>
        <v>37.268999999999998</v>
      </c>
      <c r="P320" s="30">
        <f t="shared" si="74"/>
        <v>1.3770000000000002</v>
      </c>
    </row>
    <row r="321" spans="1:16" s="68" customFormat="1" ht="19.5" customHeight="1">
      <c r="B321" s="115" t="s">
        <v>181</v>
      </c>
      <c r="C321" s="71" t="s">
        <v>58</v>
      </c>
      <c r="D321" s="116">
        <v>200</v>
      </c>
      <c r="E321" s="30">
        <v>0.28000000000000003</v>
      </c>
      <c r="F321" s="30">
        <v>0.1</v>
      </c>
      <c r="G321" s="30">
        <v>28.88</v>
      </c>
      <c r="H321" s="30">
        <v>117.54</v>
      </c>
      <c r="I321" s="30">
        <v>0</v>
      </c>
      <c r="J321" s="30">
        <v>19.3</v>
      </c>
      <c r="K321" s="30">
        <v>0</v>
      </c>
      <c r="L321" s="30">
        <v>0.16</v>
      </c>
      <c r="M321" s="30">
        <v>13.66</v>
      </c>
      <c r="N321" s="30">
        <v>7.38</v>
      </c>
      <c r="O321" s="30">
        <v>5.78</v>
      </c>
      <c r="P321" s="30">
        <v>0.46800000000000003</v>
      </c>
    </row>
    <row r="322" spans="1:16" s="68" customFormat="1" ht="18.75" customHeight="1">
      <c r="B322" s="115"/>
      <c r="C322" s="71" t="s">
        <v>173</v>
      </c>
      <c r="D322" s="116">
        <v>150</v>
      </c>
      <c r="E322" s="30">
        <v>1.3999999999999997</v>
      </c>
      <c r="F322" s="30">
        <v>0.20000000000000004</v>
      </c>
      <c r="G322" s="30">
        <v>24.3</v>
      </c>
      <c r="H322" s="30">
        <v>67.5</v>
      </c>
      <c r="I322" s="30">
        <v>5.9999999999999991E-2</v>
      </c>
      <c r="J322" s="30">
        <v>15</v>
      </c>
      <c r="K322" s="30">
        <v>0</v>
      </c>
      <c r="L322" s="30">
        <v>1.7</v>
      </c>
      <c r="M322" s="30">
        <v>30</v>
      </c>
      <c r="N322" s="30">
        <v>51</v>
      </c>
      <c r="O322" s="30">
        <v>24</v>
      </c>
      <c r="P322" s="30">
        <v>0.9</v>
      </c>
    </row>
    <row r="323" spans="1:16" ht="20.100000000000001" customHeight="1">
      <c r="A323" s="27">
        <v>10</v>
      </c>
      <c r="B323" s="43" t="s">
        <v>182</v>
      </c>
      <c r="C323" s="50" t="s">
        <v>20</v>
      </c>
      <c r="D323" s="49">
        <v>40</v>
      </c>
      <c r="E323" s="30">
        <v>3.0666666666666664</v>
      </c>
      <c r="F323" s="30">
        <v>0.26666666666666672</v>
      </c>
      <c r="G323" s="30">
        <v>19.733333333333334</v>
      </c>
      <c r="H323" s="30">
        <v>93.6</v>
      </c>
      <c r="I323" s="30">
        <v>0</v>
      </c>
      <c r="J323" s="30">
        <v>0</v>
      </c>
      <c r="K323" s="30">
        <v>0</v>
      </c>
      <c r="L323" s="30">
        <v>0.4</v>
      </c>
      <c r="M323" s="30">
        <v>8</v>
      </c>
      <c r="N323" s="30">
        <v>26</v>
      </c>
      <c r="O323" s="30">
        <v>5.6000000000000014</v>
      </c>
      <c r="P323" s="30">
        <v>0.4</v>
      </c>
    </row>
    <row r="324" spans="1:16" ht="18.75" customHeight="1">
      <c r="A324" s="27">
        <v>10</v>
      </c>
      <c r="B324" s="43" t="s">
        <v>192</v>
      </c>
      <c r="C324" s="50" t="s">
        <v>21</v>
      </c>
      <c r="D324" s="49">
        <v>50</v>
      </c>
      <c r="E324" s="30">
        <v>3.25</v>
      </c>
      <c r="F324" s="30">
        <v>0.625</v>
      </c>
      <c r="G324" s="30">
        <v>19.75</v>
      </c>
      <c r="H324" s="30">
        <v>97.625</v>
      </c>
      <c r="I324" s="30">
        <v>0.125</v>
      </c>
      <c r="J324" s="30">
        <v>0</v>
      </c>
      <c r="K324" s="30">
        <v>0</v>
      </c>
      <c r="L324" s="30">
        <v>0.75</v>
      </c>
      <c r="M324" s="30">
        <v>14.499999999999998</v>
      </c>
      <c r="N324" s="30">
        <v>75</v>
      </c>
      <c r="O324" s="30">
        <v>23.5</v>
      </c>
      <c r="P324" s="30">
        <v>2</v>
      </c>
    </row>
    <row r="325" spans="1:16" ht="21" customHeight="1">
      <c r="A325" s="27">
        <v>10</v>
      </c>
      <c r="B325" s="119"/>
      <c r="C325" s="119" t="s">
        <v>18</v>
      </c>
      <c r="D325" s="120"/>
      <c r="E325" s="119">
        <f>SUM(E315+E316+E317+E320+E321+E322+E323+E324)</f>
        <v>26.548666666666666</v>
      </c>
      <c r="F325" s="119">
        <f t="shared" ref="F325:P325" si="75">SUM(F315+F316+F317+F320+F321+F322+F323+F324)</f>
        <v>30.808666666666664</v>
      </c>
      <c r="G325" s="119">
        <f t="shared" si="75"/>
        <v>152.36733333333333</v>
      </c>
      <c r="H325" s="119">
        <f t="shared" si="75"/>
        <v>967.62800000000004</v>
      </c>
      <c r="I325" s="119">
        <f t="shared" si="75"/>
        <v>0.57099999999999995</v>
      </c>
      <c r="J325" s="119">
        <f t="shared" si="75"/>
        <v>98.948999999999998</v>
      </c>
      <c r="K325" s="119">
        <f t="shared" si="75"/>
        <v>8.968</v>
      </c>
      <c r="L325" s="119">
        <f t="shared" si="75"/>
        <v>14.705</v>
      </c>
      <c r="M325" s="119">
        <f t="shared" si="75"/>
        <v>299.24</v>
      </c>
      <c r="N325" s="119">
        <f t="shared" si="75"/>
        <v>371.2</v>
      </c>
      <c r="O325" s="119">
        <f t="shared" si="75"/>
        <v>404.17899999999997</v>
      </c>
      <c r="P325" s="119">
        <f t="shared" si="75"/>
        <v>8.15</v>
      </c>
    </row>
    <row r="326" spans="1:16" ht="18" customHeight="1">
      <c r="A326" s="27">
        <v>10</v>
      </c>
      <c r="B326" s="136" t="s">
        <v>22</v>
      </c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</row>
    <row r="327" spans="1:16" ht="24.75" customHeight="1">
      <c r="A327" s="27">
        <v>10</v>
      </c>
      <c r="B327" s="66" t="s">
        <v>219</v>
      </c>
      <c r="C327" s="37" t="s">
        <v>220</v>
      </c>
      <c r="D327" s="67">
        <v>100</v>
      </c>
      <c r="E327" s="30">
        <v>8.07</v>
      </c>
      <c r="F327" s="30">
        <v>10.02</v>
      </c>
      <c r="G327" s="30">
        <v>3.04</v>
      </c>
      <c r="H327" s="30">
        <v>170.5</v>
      </c>
      <c r="I327" s="30">
        <v>8.1000000000000003E-2</v>
      </c>
      <c r="J327" s="30">
        <v>0.1</v>
      </c>
      <c r="K327" s="30">
        <v>1.43</v>
      </c>
      <c r="L327" s="30">
        <v>2.74</v>
      </c>
      <c r="M327" s="30">
        <v>47.49</v>
      </c>
      <c r="N327" s="30">
        <v>28.73</v>
      </c>
      <c r="O327" s="30">
        <v>13.07</v>
      </c>
      <c r="P327" s="30">
        <v>1.75</v>
      </c>
    </row>
    <row r="328" spans="1:16" s="68" customFormat="1" ht="18" customHeight="1">
      <c r="B328" s="127" t="s">
        <v>200</v>
      </c>
      <c r="C328" s="71" t="s">
        <v>221</v>
      </c>
      <c r="D328" s="128">
        <v>100</v>
      </c>
      <c r="E328" s="30">
        <v>0.8</v>
      </c>
      <c r="F328" s="30">
        <v>0.1</v>
      </c>
      <c r="G328" s="30">
        <v>2.5</v>
      </c>
      <c r="H328" s="30">
        <v>14.1</v>
      </c>
      <c r="I328" s="30">
        <v>0</v>
      </c>
      <c r="J328" s="30">
        <v>10</v>
      </c>
      <c r="K328" s="30">
        <v>0</v>
      </c>
      <c r="L328" s="30">
        <v>0</v>
      </c>
      <c r="M328" s="30">
        <v>23.3</v>
      </c>
      <c r="N328" s="30">
        <v>41.6</v>
      </c>
      <c r="O328" s="30">
        <v>14</v>
      </c>
      <c r="P328" s="30">
        <v>0.6</v>
      </c>
    </row>
    <row r="329" spans="1:16" s="68" customFormat="1" ht="19.5" customHeight="1">
      <c r="B329" s="127" t="s">
        <v>190</v>
      </c>
      <c r="C329" s="71" t="s">
        <v>222</v>
      </c>
      <c r="D329" s="128">
        <v>100</v>
      </c>
      <c r="E329" s="30">
        <v>0.8</v>
      </c>
      <c r="F329" s="30">
        <v>0.1</v>
      </c>
      <c r="G329" s="30">
        <v>1.7</v>
      </c>
      <c r="H329" s="30">
        <v>10.9</v>
      </c>
      <c r="I329" s="30">
        <v>0.02</v>
      </c>
      <c r="J329" s="30">
        <v>5</v>
      </c>
      <c r="K329" s="30">
        <v>0</v>
      </c>
      <c r="L329" s="30">
        <v>0.1</v>
      </c>
      <c r="M329" s="30">
        <v>23</v>
      </c>
      <c r="N329" s="30">
        <v>24</v>
      </c>
      <c r="O329" s="30">
        <v>14</v>
      </c>
      <c r="P329" s="30">
        <v>0.6</v>
      </c>
    </row>
    <row r="330" spans="1:16" s="68" customFormat="1" ht="18.75" customHeight="1">
      <c r="B330" s="89"/>
      <c r="C330" s="71" t="s">
        <v>171</v>
      </c>
      <c r="D330" s="90"/>
      <c r="E330" s="30">
        <v>0.48</v>
      </c>
      <c r="F330" s="30">
        <v>0.06</v>
      </c>
      <c r="G330" s="30">
        <v>1.26</v>
      </c>
      <c r="H330" s="30">
        <v>7.5</v>
      </c>
      <c r="I330" s="30">
        <v>6.0000000000000001E-3</v>
      </c>
      <c r="J330" s="30">
        <v>4.5</v>
      </c>
      <c r="K330" s="30">
        <v>0</v>
      </c>
      <c r="L330" s="30">
        <v>0.03</v>
      </c>
      <c r="M330" s="30">
        <v>13.89</v>
      </c>
      <c r="N330" s="30">
        <v>19.68</v>
      </c>
      <c r="O330" s="30">
        <v>8.4</v>
      </c>
      <c r="P330" s="30">
        <v>0.36</v>
      </c>
    </row>
    <row r="331" spans="1:16" s="68" customFormat="1" ht="18" customHeight="1">
      <c r="B331" s="89" t="s">
        <v>182</v>
      </c>
      <c r="C331" s="71" t="s">
        <v>20</v>
      </c>
      <c r="D331" s="90">
        <v>20</v>
      </c>
      <c r="E331" s="30">
        <v>1.5333333333333332</v>
      </c>
      <c r="F331" s="30">
        <v>0.13333333333333336</v>
      </c>
      <c r="G331" s="30">
        <v>9.8666666666666671</v>
      </c>
      <c r="H331" s="30">
        <v>0</v>
      </c>
      <c r="I331" s="30">
        <v>0</v>
      </c>
      <c r="J331" s="30">
        <v>0</v>
      </c>
      <c r="K331" s="30">
        <v>0</v>
      </c>
      <c r="L331" s="30">
        <v>0.2</v>
      </c>
      <c r="M331" s="30">
        <v>4</v>
      </c>
      <c r="N331" s="30">
        <v>13</v>
      </c>
      <c r="O331" s="30">
        <v>2.8000000000000007</v>
      </c>
      <c r="P331" s="30">
        <v>0.2</v>
      </c>
    </row>
    <row r="332" spans="1:16" ht="21" customHeight="1">
      <c r="A332" s="27">
        <v>10</v>
      </c>
      <c r="B332" s="66" t="s">
        <v>172</v>
      </c>
      <c r="C332" s="37" t="s">
        <v>51</v>
      </c>
      <c r="D332" s="35">
        <v>200</v>
      </c>
      <c r="E332" s="30">
        <v>0.16</v>
      </c>
      <c r="F332" s="30">
        <v>0.16</v>
      </c>
      <c r="G332" s="30">
        <v>19.88</v>
      </c>
      <c r="H332" s="30">
        <v>81.599999999999994</v>
      </c>
      <c r="I332" s="30">
        <v>0.02</v>
      </c>
      <c r="J332" s="30">
        <v>0.9</v>
      </c>
      <c r="K332" s="30">
        <v>0</v>
      </c>
      <c r="L332" s="30">
        <v>0.08</v>
      </c>
      <c r="M332" s="30">
        <v>13.94</v>
      </c>
      <c r="N332" s="30">
        <v>4.4000000000000004</v>
      </c>
      <c r="O332" s="30">
        <v>5.14</v>
      </c>
      <c r="P332" s="30">
        <v>0.93600000000000005</v>
      </c>
    </row>
    <row r="333" spans="1:16" ht="0.75" hidden="1" customHeight="1">
      <c r="A333" s="27">
        <v>10</v>
      </c>
      <c r="B333" s="66"/>
      <c r="C333" s="40"/>
      <c r="D333" s="67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</row>
    <row r="334" spans="1:16" ht="20.25" customHeight="1">
      <c r="A334" s="27">
        <v>10</v>
      </c>
      <c r="B334" s="119"/>
      <c r="C334" s="119" t="s">
        <v>18</v>
      </c>
      <c r="D334" s="120"/>
      <c r="E334" s="119">
        <f>SUM(E327+E330+E331+E332)</f>
        <v>10.243333333333334</v>
      </c>
      <c r="F334" s="119">
        <f t="shared" ref="F334:P334" si="76">SUM(F327+F330+F331+F332)</f>
        <v>10.373333333333333</v>
      </c>
      <c r="G334" s="119">
        <f t="shared" si="76"/>
        <v>34.046666666666667</v>
      </c>
      <c r="H334" s="119">
        <f t="shared" si="76"/>
        <v>259.60000000000002</v>
      </c>
      <c r="I334" s="119">
        <f t="shared" si="76"/>
        <v>0.10700000000000001</v>
      </c>
      <c r="J334" s="119">
        <f t="shared" si="76"/>
        <v>5.5</v>
      </c>
      <c r="K334" s="119">
        <f t="shared" si="76"/>
        <v>1.43</v>
      </c>
      <c r="L334" s="119">
        <f t="shared" si="76"/>
        <v>3.0500000000000003</v>
      </c>
      <c r="M334" s="119">
        <f t="shared" si="76"/>
        <v>79.319999999999993</v>
      </c>
      <c r="N334" s="119">
        <f t="shared" si="76"/>
        <v>65.81</v>
      </c>
      <c r="O334" s="119">
        <f t="shared" si="76"/>
        <v>29.41</v>
      </c>
      <c r="P334" s="119">
        <f t="shared" si="76"/>
        <v>3.246</v>
      </c>
    </row>
    <row r="335" spans="1:16" ht="16.899999999999999" customHeight="1">
      <c r="A335" s="27">
        <v>10</v>
      </c>
      <c r="B335" s="66"/>
      <c r="C335" s="66" t="s">
        <v>35</v>
      </c>
      <c r="D335" s="67"/>
      <c r="E335" s="66">
        <f>SUM(E311+E325+E334)</f>
        <v>53.944499999999998</v>
      </c>
      <c r="F335" s="115">
        <f t="shared" ref="F335:P335" si="77">SUM(F311+F325+F334)</f>
        <v>63.448499999999996</v>
      </c>
      <c r="G335" s="115">
        <f t="shared" si="77"/>
        <v>285.07550000000003</v>
      </c>
      <c r="H335" s="115">
        <f t="shared" si="77"/>
        <v>1858.1529999999998</v>
      </c>
      <c r="I335" s="115">
        <f t="shared" si="77"/>
        <v>0.87749999999999995</v>
      </c>
      <c r="J335" s="115">
        <f t="shared" si="77"/>
        <v>113.32474999999999</v>
      </c>
      <c r="K335" s="115">
        <f t="shared" si="77"/>
        <v>11.105499999999999</v>
      </c>
      <c r="L335" s="115">
        <f t="shared" si="77"/>
        <v>20.69</v>
      </c>
      <c r="M335" s="115">
        <f t="shared" si="77"/>
        <v>710.22399999999993</v>
      </c>
      <c r="N335" s="115">
        <f t="shared" si="77"/>
        <v>779.01250000000005</v>
      </c>
      <c r="O335" s="115">
        <f t="shared" si="77"/>
        <v>503.07299999999998</v>
      </c>
      <c r="P335" s="115">
        <f t="shared" si="77"/>
        <v>13.533500000000002</v>
      </c>
    </row>
  </sheetData>
  <mergeCells count="100">
    <mergeCell ref="B303:P303"/>
    <mergeCell ref="B312:P312"/>
    <mergeCell ref="B237:B238"/>
    <mergeCell ref="C237:C238"/>
    <mergeCell ref="D237:D238"/>
    <mergeCell ref="E237:G237"/>
    <mergeCell ref="H237:H238"/>
    <mergeCell ref="I237:L237"/>
    <mergeCell ref="M237:P237"/>
    <mergeCell ref="B270:B271"/>
    <mergeCell ref="C270:C271"/>
    <mergeCell ref="D270:D271"/>
    <mergeCell ref="E270:G270"/>
    <mergeCell ref="H270:H271"/>
    <mergeCell ref="I270:L270"/>
    <mergeCell ref="M270:P270"/>
    <mergeCell ref="B326:P326"/>
    <mergeCell ref="B272:P272"/>
    <mergeCell ref="B149:P149"/>
    <mergeCell ref="B160:P160"/>
    <mergeCell ref="B172:P172"/>
    <mergeCell ref="B178:P178"/>
    <mergeCell ref="B191:P191"/>
    <mergeCell ref="B203:P203"/>
    <mergeCell ref="B214:P214"/>
    <mergeCell ref="B225:P225"/>
    <mergeCell ref="B239:P239"/>
    <mergeCell ref="B249:P249"/>
    <mergeCell ref="B260:P260"/>
    <mergeCell ref="B170:B171"/>
    <mergeCell ref="C170:C171"/>
    <mergeCell ref="D170:D171"/>
    <mergeCell ref="B141:P141"/>
    <mergeCell ref="B76:P76"/>
    <mergeCell ref="B62:P62"/>
    <mergeCell ref="B51:P51"/>
    <mergeCell ref="B38:P38"/>
    <mergeCell ref="B85:P85"/>
    <mergeCell ref="B99:P99"/>
    <mergeCell ref="B111:P111"/>
    <mergeCell ref="B120:P120"/>
    <mergeCell ref="B129:P129"/>
    <mergeCell ref="B109:B110"/>
    <mergeCell ref="C109:C110"/>
    <mergeCell ref="D109:D110"/>
    <mergeCell ref="E109:G109"/>
    <mergeCell ref="H109:H110"/>
    <mergeCell ref="I109:L109"/>
    <mergeCell ref="M6:P6"/>
    <mergeCell ref="B8:P8"/>
    <mergeCell ref="B14:P14"/>
    <mergeCell ref="B25:P25"/>
    <mergeCell ref="B6:B7"/>
    <mergeCell ref="C6:C7"/>
    <mergeCell ref="D6:D7"/>
    <mergeCell ref="E6:G6"/>
    <mergeCell ref="H6:H7"/>
    <mergeCell ref="I6:L6"/>
    <mergeCell ref="I36:L36"/>
    <mergeCell ref="M36:P36"/>
    <mergeCell ref="B74:B75"/>
    <mergeCell ref="C74:C75"/>
    <mergeCell ref="D74:D75"/>
    <mergeCell ref="E74:G74"/>
    <mergeCell ref="H74:H75"/>
    <mergeCell ref="I74:L74"/>
    <mergeCell ref="M74:P74"/>
    <mergeCell ref="B36:B37"/>
    <mergeCell ref="C36:C37"/>
    <mergeCell ref="D36:D37"/>
    <mergeCell ref="E36:G36"/>
    <mergeCell ref="H36:H37"/>
    <mergeCell ref="M109:P109"/>
    <mergeCell ref="B139:B140"/>
    <mergeCell ref="C139:C140"/>
    <mergeCell ref="D139:D140"/>
    <mergeCell ref="E139:G139"/>
    <mergeCell ref="H139:H140"/>
    <mergeCell ref="I139:L139"/>
    <mergeCell ref="M139:P139"/>
    <mergeCell ref="E170:G170"/>
    <mergeCell ref="H170:H171"/>
    <mergeCell ref="I170:L170"/>
    <mergeCell ref="M170:P170"/>
    <mergeCell ref="B201:B202"/>
    <mergeCell ref="C201:C202"/>
    <mergeCell ref="D201:D202"/>
    <mergeCell ref="E201:G201"/>
    <mergeCell ref="H201:H202"/>
    <mergeCell ref="I201:L201"/>
    <mergeCell ref="M201:P201"/>
    <mergeCell ref="B282:P282"/>
    <mergeCell ref="B291:P291"/>
    <mergeCell ref="I301:L301"/>
    <mergeCell ref="M301:P301"/>
    <mergeCell ref="B301:B302"/>
    <mergeCell ref="C301:C302"/>
    <mergeCell ref="D301:D302"/>
    <mergeCell ref="E301:G301"/>
    <mergeCell ref="H301:H302"/>
  </mergeCells>
  <pageMargins left="0.51181102362204722" right="0.51181102362204722" top="0.74803149606299213" bottom="0.35433070866141736" header="0.31496062992125984" footer="0.31496062992125984"/>
  <pageSetup paperSize="9" scale="62" fitToHeight="0" orientation="landscape" r:id="rId1"/>
  <rowBreaks count="9" manualBreakCount="9">
    <brk id="30" max="16383" man="1"/>
    <brk id="68" max="16383" man="1"/>
    <brk id="103" max="16383" man="1"/>
    <brk id="133" max="16383" man="1"/>
    <brk id="164" max="16383" man="1"/>
    <brk id="196" max="16383" man="1"/>
    <brk id="231" max="16383" man="1"/>
    <brk id="264" max="16383" man="1"/>
    <brk id="2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5"/>
  <sheetViews>
    <sheetView topLeftCell="A7" workbookViewId="0">
      <selection activeCell="D20" sqref="D20"/>
    </sheetView>
  </sheetViews>
  <sheetFormatPr defaultColWidth="9.140625" defaultRowHeight="15"/>
  <cols>
    <col min="1" max="1" width="9.140625" style="1"/>
    <col min="2" max="2" width="9.28515625" style="1" bestFit="1" customWidth="1"/>
    <col min="3" max="3" width="13.28515625" style="1" bestFit="1" customWidth="1"/>
    <col min="4" max="5" width="9.28515625" style="1" bestFit="1" customWidth="1"/>
    <col min="6" max="6" width="12.7109375" style="1" customWidth="1"/>
    <col min="7" max="14" width="9.28515625" style="1" bestFit="1" customWidth="1"/>
    <col min="15" max="15" width="9.140625" style="1"/>
    <col min="16" max="16" width="32.42578125" style="1" hidden="1" customWidth="1"/>
    <col min="17" max="20" width="9.28515625" style="1" hidden="1" customWidth="1"/>
    <col min="21" max="16384" width="9.140625" style="1"/>
  </cols>
  <sheetData>
    <row r="2" spans="2:20" ht="40.5" customHeight="1" thickBot="1">
      <c r="B2" s="142" t="s">
        <v>40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2:20" ht="75" customHeight="1" thickBot="1">
      <c r="B3" s="21" t="s">
        <v>36</v>
      </c>
      <c r="C3" s="149" t="s">
        <v>3</v>
      </c>
      <c r="D3" s="149"/>
      <c r="E3" s="149"/>
      <c r="F3" s="149" t="s">
        <v>37</v>
      </c>
      <c r="G3" s="149" t="s">
        <v>5</v>
      </c>
      <c r="H3" s="149"/>
      <c r="I3" s="149"/>
      <c r="J3" s="149"/>
      <c r="K3" s="149" t="s">
        <v>6</v>
      </c>
      <c r="L3" s="149"/>
      <c r="M3" s="149"/>
      <c r="N3" s="149"/>
      <c r="P3" s="146" t="s">
        <v>43</v>
      </c>
      <c r="Q3" s="143" t="s">
        <v>3</v>
      </c>
      <c r="R3" s="144"/>
      <c r="S3" s="145"/>
      <c r="T3" s="2" t="s">
        <v>41</v>
      </c>
    </row>
    <row r="4" spans="2:20" ht="19.5" customHeight="1" thickBot="1">
      <c r="B4" s="22"/>
      <c r="C4" s="21" t="s">
        <v>7</v>
      </c>
      <c r="D4" s="21" t="s">
        <v>8</v>
      </c>
      <c r="E4" s="21" t="s">
        <v>9</v>
      </c>
      <c r="F4" s="149"/>
      <c r="G4" s="21" t="s">
        <v>38</v>
      </c>
      <c r="H4" s="21" t="s">
        <v>10</v>
      </c>
      <c r="I4" s="21" t="s">
        <v>11</v>
      </c>
      <c r="J4" s="21" t="s">
        <v>12</v>
      </c>
      <c r="K4" s="21" t="s">
        <v>13</v>
      </c>
      <c r="L4" s="21" t="s">
        <v>14</v>
      </c>
      <c r="M4" s="21" t="s">
        <v>15</v>
      </c>
      <c r="N4" s="21" t="s">
        <v>16</v>
      </c>
      <c r="P4" s="147"/>
      <c r="Q4" s="3" t="s">
        <v>7</v>
      </c>
      <c r="R4" s="3" t="s">
        <v>8</v>
      </c>
      <c r="S4" s="3" t="s">
        <v>9</v>
      </c>
      <c r="T4" s="4" t="s">
        <v>42</v>
      </c>
    </row>
    <row r="5" spans="2:20" ht="16.5" customHeight="1" thickBot="1">
      <c r="B5" s="23">
        <v>1</v>
      </c>
      <c r="C5" s="24">
        <f>'на выход'!E30</f>
        <v>80.086666666666659</v>
      </c>
      <c r="D5" s="24">
        <f>'на выход'!F30</f>
        <v>61.487666666666662</v>
      </c>
      <c r="E5" s="24">
        <f>'на выход'!G30</f>
        <v>246.47733333333335</v>
      </c>
      <c r="F5" s="24">
        <f>'на выход'!H30</f>
        <v>1955.617</v>
      </c>
      <c r="G5" s="24">
        <f>'на выход'!I30</f>
        <v>0.501</v>
      </c>
      <c r="H5" s="24">
        <f>'на выход'!J30</f>
        <v>30.314</v>
      </c>
      <c r="I5" s="24">
        <f>'на выход'!K30</f>
        <v>29.634999999999998</v>
      </c>
      <c r="J5" s="24">
        <f>'на выход'!L30</f>
        <v>14.056000000000001</v>
      </c>
      <c r="K5" s="24">
        <f>'на выход'!M30</f>
        <v>818.30200000000013</v>
      </c>
      <c r="L5" s="24">
        <f>'на выход'!N30</f>
        <v>1362.1639999999998</v>
      </c>
      <c r="M5" s="24">
        <f>'на выход'!O30</f>
        <v>437.02</v>
      </c>
      <c r="N5" s="24">
        <f>'на выход'!P30</f>
        <v>17.829000000000001</v>
      </c>
      <c r="P5" s="148"/>
      <c r="Q5" s="5" t="s">
        <v>44</v>
      </c>
      <c r="R5" s="5" t="s">
        <v>45</v>
      </c>
      <c r="S5" s="5" t="s">
        <v>46</v>
      </c>
      <c r="T5" s="6" t="s">
        <v>47</v>
      </c>
    </row>
    <row r="6" spans="2:20" ht="16.5" customHeight="1" thickBot="1">
      <c r="B6" s="23">
        <v>2</v>
      </c>
      <c r="C6" s="24">
        <f>'на выход'!E68</f>
        <v>64.099166666666662</v>
      </c>
      <c r="D6" s="24">
        <f>'на выход'!F68</f>
        <v>67.284166666666664</v>
      </c>
      <c r="E6" s="24">
        <f>'на выход'!G68</f>
        <v>278.7233333333333</v>
      </c>
      <c r="F6" s="24">
        <f>'на выход'!H68</f>
        <v>1889.4787499999998</v>
      </c>
      <c r="G6" s="24">
        <f>'на выход'!I68</f>
        <v>0.50249999999999995</v>
      </c>
      <c r="H6" s="24">
        <f>'на выход'!J68</f>
        <v>28.905000000000001</v>
      </c>
      <c r="I6" s="24">
        <f>'на выход'!K68</f>
        <v>111.822</v>
      </c>
      <c r="J6" s="24">
        <f>'на выход'!L68</f>
        <v>18.513750000000002</v>
      </c>
      <c r="K6" s="24">
        <f>'на выход'!M68</f>
        <v>713.70499999999993</v>
      </c>
      <c r="L6" s="24">
        <f>'на выход'!N68</f>
        <v>735.40625</v>
      </c>
      <c r="M6" s="24">
        <f>'на выход'!O68</f>
        <v>594.02125000000001</v>
      </c>
      <c r="N6" s="24">
        <f>'на выход'!P68</f>
        <v>18.72475</v>
      </c>
      <c r="P6" s="7" t="s">
        <v>48</v>
      </c>
      <c r="Q6" s="8">
        <f>C15</f>
        <v>685.58249999999987</v>
      </c>
      <c r="R6" s="8">
        <f>D15</f>
        <v>699.64149999999995</v>
      </c>
      <c r="S6" s="8">
        <f>E15</f>
        <v>2774.1104999999998</v>
      </c>
      <c r="T6" s="8">
        <f>F15</f>
        <v>20128.812749999997</v>
      </c>
    </row>
    <row r="7" spans="2:20" ht="16.5" customHeight="1" thickBot="1">
      <c r="B7" s="23">
        <v>3</v>
      </c>
      <c r="C7" s="24">
        <f>'на выход'!E103</f>
        <v>58.882166666666663</v>
      </c>
      <c r="D7" s="24">
        <f>'на выход'!F103</f>
        <v>83.784666666666666</v>
      </c>
      <c r="E7" s="24">
        <f>'на выход'!G103</f>
        <v>260.93783333333334</v>
      </c>
      <c r="F7" s="24">
        <f>'на выход'!H103</f>
        <v>2003.9560000000001</v>
      </c>
      <c r="G7" s="24">
        <f>'на выход'!I103</f>
        <v>0.73399999999999999</v>
      </c>
      <c r="H7" s="24">
        <f>'на выход'!J103</f>
        <v>47.599000000000004</v>
      </c>
      <c r="I7" s="24">
        <f>'на выход'!K103</f>
        <v>124.90500000000002</v>
      </c>
      <c r="J7" s="24">
        <f>'на выход'!L103</f>
        <v>27.143000000000001</v>
      </c>
      <c r="K7" s="24">
        <f>'на выход'!M103</f>
        <v>658.54299999999989</v>
      </c>
      <c r="L7" s="24">
        <f>'на выход'!N103</f>
        <v>696.399</v>
      </c>
      <c r="M7" s="24">
        <f>'на выход'!O103</f>
        <v>750.07</v>
      </c>
      <c r="N7" s="24">
        <f>'на выход'!P103</f>
        <v>18.938000000000002</v>
      </c>
      <c r="P7" s="7" t="s">
        <v>49</v>
      </c>
      <c r="Q7" s="8">
        <f>Q6/10</f>
        <v>68.558249999999987</v>
      </c>
      <c r="R7" s="8">
        <f>R6/10</f>
        <v>69.964149999999989</v>
      </c>
      <c r="S7" s="8">
        <f>S6/10</f>
        <v>277.41104999999999</v>
      </c>
      <c r="T7" s="8">
        <f>T6/10</f>
        <v>2012.8812749999997</v>
      </c>
    </row>
    <row r="8" spans="2:20" ht="16.5" customHeight="1">
      <c r="B8" s="23">
        <v>4</v>
      </c>
      <c r="C8" s="24">
        <f>'на выход'!E133</f>
        <v>82.368166666666653</v>
      </c>
      <c r="D8" s="24">
        <f>'на выход'!F133</f>
        <v>67.236666666666665</v>
      </c>
      <c r="E8" s="24">
        <f>'на выход'!G133</f>
        <v>338.06983333333335</v>
      </c>
      <c r="F8" s="24">
        <f>'на выход'!H133</f>
        <v>2252.8415</v>
      </c>
      <c r="G8" s="24">
        <f>'на выход'!I133</f>
        <v>1.1435000000000002</v>
      </c>
      <c r="H8" s="24">
        <f>'на выход'!J133</f>
        <v>7.5124999999999993</v>
      </c>
      <c r="I8" s="24">
        <f>'на выход'!K133</f>
        <v>49.064</v>
      </c>
      <c r="J8" s="24">
        <f>'на выход'!L133</f>
        <v>16.256</v>
      </c>
      <c r="K8" s="24">
        <f>'на выход'!M133</f>
        <v>545.62199999999996</v>
      </c>
      <c r="L8" s="24">
        <f>'на выход'!N133</f>
        <v>699.529</v>
      </c>
      <c r="M8" s="24">
        <f>'на выход'!O133</f>
        <v>359.23849999999999</v>
      </c>
      <c r="N8" s="24">
        <f>'на выход'!P133</f>
        <v>33.067</v>
      </c>
    </row>
    <row r="9" spans="2:20" ht="16.5" customHeight="1">
      <c r="B9" s="23">
        <v>5</v>
      </c>
      <c r="C9" s="24">
        <f>'на выход'!E164</f>
        <v>96.00066666666666</v>
      </c>
      <c r="D9" s="24">
        <f>'на выход'!F164</f>
        <v>85.964666666666659</v>
      </c>
      <c r="E9" s="24">
        <f>'на выход'!G164</f>
        <v>265.82533333333333</v>
      </c>
      <c r="F9" s="24">
        <f>'на выход'!H164</f>
        <v>2365.2380000000003</v>
      </c>
      <c r="G9" s="24">
        <f>'на выход'!I164</f>
        <v>0.83</v>
      </c>
      <c r="H9" s="24">
        <f>'на выход'!J164</f>
        <v>66.98</v>
      </c>
      <c r="I9" s="24">
        <f>'на выход'!K164</f>
        <v>17.212999999999997</v>
      </c>
      <c r="J9" s="24">
        <f>'на выход'!L164</f>
        <v>17.167999999999996</v>
      </c>
      <c r="K9" s="24">
        <f>'на выход'!M164</f>
        <v>1114.2819999999999</v>
      </c>
      <c r="L9" s="24">
        <f>'на выход'!N164</f>
        <v>1287.0039999999999</v>
      </c>
      <c r="M9" s="24">
        <f>'на выход'!O164</f>
        <v>596.09399999999994</v>
      </c>
      <c r="N9" s="24">
        <f>'на выход'!P164</f>
        <v>16.09</v>
      </c>
    </row>
    <row r="10" spans="2:20" ht="16.5" customHeight="1">
      <c r="B10" s="23">
        <v>6</v>
      </c>
      <c r="C10" s="24">
        <f>'на выход'!E196</f>
        <v>51.243333333333332</v>
      </c>
      <c r="D10" s="24">
        <f>'на выход'!F196</f>
        <v>59.653333333333336</v>
      </c>
      <c r="E10" s="24">
        <f>'на выход'!G196</f>
        <v>254.49666666666667</v>
      </c>
      <c r="F10" s="24">
        <f>'на выход'!H196</f>
        <v>1646.97</v>
      </c>
      <c r="G10" s="24">
        <f>'на выход'!I196</f>
        <v>0.59499999999999997</v>
      </c>
      <c r="H10" s="24">
        <f>'на выход'!J196</f>
        <v>28.240000000000002</v>
      </c>
      <c r="I10" s="24">
        <f>'на выход'!K196</f>
        <v>8.34</v>
      </c>
      <c r="J10" s="24">
        <f>'на выход'!L196</f>
        <v>12.5</v>
      </c>
      <c r="K10" s="24">
        <f>'на выход'!M196</f>
        <v>633.45000000000005</v>
      </c>
      <c r="L10" s="24">
        <f>'на выход'!N196</f>
        <v>902.84999999999991</v>
      </c>
      <c r="M10" s="24">
        <f>'на выход'!O196</f>
        <v>543.73</v>
      </c>
      <c r="N10" s="24">
        <f>'на выход'!P196</f>
        <v>14.378</v>
      </c>
    </row>
    <row r="11" spans="2:20" ht="16.5" customHeight="1">
      <c r="B11" s="23">
        <v>7</v>
      </c>
      <c r="C11" s="24">
        <f>'на выход'!E231</f>
        <v>52.679000000000002</v>
      </c>
      <c r="D11" s="24">
        <f>'на выход'!F231</f>
        <v>61.020999999999994</v>
      </c>
      <c r="E11" s="24">
        <f>'на выход'!G231</f>
        <v>227.209</v>
      </c>
      <c r="F11" s="24">
        <f>'на выход'!H231</f>
        <v>1657.027</v>
      </c>
      <c r="G11" s="24">
        <f>'на выход'!I231</f>
        <v>1.0485000000000002</v>
      </c>
      <c r="H11" s="24">
        <f>'на выход'!J231</f>
        <v>56.421999999999997</v>
      </c>
      <c r="I11" s="24">
        <f>'на выход'!K231</f>
        <v>25.340999999999998</v>
      </c>
      <c r="J11" s="24">
        <f>'на выход'!L231</f>
        <v>17.131999999999998</v>
      </c>
      <c r="K11" s="24">
        <f>'на выход'!M231</f>
        <v>510.93900000000002</v>
      </c>
      <c r="L11" s="24">
        <f>'на выход'!N231</f>
        <v>896.23250000000007</v>
      </c>
      <c r="M11" s="24">
        <f>'на выход'!O231</f>
        <v>428.98349999999994</v>
      </c>
      <c r="N11" s="24">
        <f>'на выход'!P231</f>
        <v>15.339</v>
      </c>
    </row>
    <row r="12" spans="2:20" ht="16.5" customHeight="1">
      <c r="B12" s="23">
        <v>8</v>
      </c>
      <c r="C12" s="24">
        <f>'на выход'!E264</f>
        <v>58.30916666666667</v>
      </c>
      <c r="D12" s="24">
        <f>'на выход'!F264</f>
        <v>57.883166666666668</v>
      </c>
      <c r="E12" s="24">
        <f>'на выход'!G264</f>
        <v>290.89933333333329</v>
      </c>
      <c r="F12" s="24">
        <f>'на выход'!H264</f>
        <v>1950.5345000000002</v>
      </c>
      <c r="G12" s="24">
        <f>'на выход'!I264</f>
        <v>0.78950000000000009</v>
      </c>
      <c r="H12" s="24">
        <f>'на выход'!J264</f>
        <v>23.923999999999999</v>
      </c>
      <c r="I12" s="24">
        <f>'на выход'!K264</f>
        <v>158.46074999999999</v>
      </c>
      <c r="J12" s="24">
        <f>'на выход'!L264</f>
        <v>41.583500000000001</v>
      </c>
      <c r="K12" s="24">
        <f>'на выход'!M264</f>
        <v>665.24599999999998</v>
      </c>
      <c r="L12" s="24">
        <f>'на выход'!N264</f>
        <v>920.88199999999995</v>
      </c>
      <c r="M12" s="24">
        <f>'на выход'!O264</f>
        <v>484.53000000000003</v>
      </c>
      <c r="N12" s="24">
        <f>'на выход'!P264</f>
        <v>13.385999999999999</v>
      </c>
    </row>
    <row r="13" spans="2:20" ht="16.5" customHeight="1">
      <c r="B13" s="23">
        <v>9</v>
      </c>
      <c r="C13" s="24">
        <f>'на выход'!E295</f>
        <v>87.969666666666654</v>
      </c>
      <c r="D13" s="24">
        <f>'на выход'!F295</f>
        <v>91.877666666666656</v>
      </c>
      <c r="E13" s="24">
        <f>'на выход'!G295</f>
        <v>326.3963333333333</v>
      </c>
      <c r="F13" s="24">
        <f>'на выход'!H295</f>
        <v>2548.9969999999998</v>
      </c>
      <c r="G13" s="24">
        <f>'на выход'!I295</f>
        <v>1.7535000000000003</v>
      </c>
      <c r="H13" s="24">
        <f>'на выход'!J295</f>
        <v>60.089000000000006</v>
      </c>
      <c r="I13" s="24">
        <f>'на выход'!K295</f>
        <v>29.434000000000001</v>
      </c>
      <c r="J13" s="24">
        <f>'на выход'!L295</f>
        <v>28.293499999999998</v>
      </c>
      <c r="K13" s="24">
        <f>'на выход'!M295</f>
        <v>1022.5840000000001</v>
      </c>
      <c r="L13" s="24">
        <f>'на выход'!N295</f>
        <v>1274.848</v>
      </c>
      <c r="M13" s="24">
        <f>'на выход'!O295</f>
        <v>462.23</v>
      </c>
      <c r="N13" s="24">
        <f>'на выход'!P295</f>
        <v>34.286500000000004</v>
      </c>
    </row>
    <row r="14" spans="2:20" ht="15.75">
      <c r="B14" s="23">
        <v>10</v>
      </c>
      <c r="C14" s="24">
        <f>'на выход'!E335</f>
        <v>53.944499999999998</v>
      </c>
      <c r="D14" s="24">
        <f>'на выход'!F335</f>
        <v>63.448499999999996</v>
      </c>
      <c r="E14" s="24">
        <f>'на выход'!G335</f>
        <v>285.07550000000003</v>
      </c>
      <c r="F14" s="24">
        <f>'на выход'!H335</f>
        <v>1858.1529999999998</v>
      </c>
      <c r="G14" s="24">
        <f>'на выход'!I335</f>
        <v>0.87749999999999995</v>
      </c>
      <c r="H14" s="24">
        <f>'на выход'!J335</f>
        <v>113.32474999999999</v>
      </c>
      <c r="I14" s="24">
        <f>'на выход'!K335</f>
        <v>11.105499999999999</v>
      </c>
      <c r="J14" s="24">
        <f>'на выход'!L335</f>
        <v>20.69</v>
      </c>
      <c r="K14" s="24">
        <f>'на выход'!M335</f>
        <v>710.22399999999993</v>
      </c>
      <c r="L14" s="24">
        <f>'на выход'!N335</f>
        <v>779.01250000000005</v>
      </c>
      <c r="M14" s="24">
        <f>'на выход'!O335</f>
        <v>503.07299999999998</v>
      </c>
      <c r="N14" s="24">
        <f>'на выход'!P335</f>
        <v>13.533500000000002</v>
      </c>
    </row>
    <row r="15" spans="2:20" ht="31.5">
      <c r="B15" s="25" t="s">
        <v>39</v>
      </c>
      <c r="C15" s="26">
        <f>SUM(C5:C14)</f>
        <v>685.58249999999987</v>
      </c>
      <c r="D15" s="26">
        <f t="shared" ref="D15:N15" si="0">SUM(D5:D14)</f>
        <v>699.64149999999995</v>
      </c>
      <c r="E15" s="26">
        <f>SUM(E5:E14)</f>
        <v>2774.1104999999998</v>
      </c>
      <c r="F15" s="26">
        <f t="shared" si="0"/>
        <v>20128.812749999997</v>
      </c>
      <c r="G15" s="26">
        <f t="shared" si="0"/>
        <v>8.7750000000000004</v>
      </c>
      <c r="H15" s="26">
        <f t="shared" si="0"/>
        <v>463.31025</v>
      </c>
      <c r="I15" s="26">
        <f t="shared" si="0"/>
        <v>565.32024999999999</v>
      </c>
      <c r="J15" s="26">
        <f t="shared" si="0"/>
        <v>213.33574999999996</v>
      </c>
      <c r="K15" s="26">
        <f t="shared" si="0"/>
        <v>7392.8969999999999</v>
      </c>
      <c r="L15" s="26">
        <f t="shared" si="0"/>
        <v>9554.3272500000003</v>
      </c>
      <c r="M15" s="26">
        <f t="shared" si="0"/>
        <v>5158.9902500000007</v>
      </c>
      <c r="N15" s="26">
        <f t="shared" si="0"/>
        <v>195.57175000000001</v>
      </c>
    </row>
  </sheetData>
  <mergeCells count="7">
    <mergeCell ref="B2:N2"/>
    <mergeCell ref="Q3:S3"/>
    <mergeCell ref="P3:P5"/>
    <mergeCell ref="C3:E3"/>
    <mergeCell ref="F3:F4"/>
    <mergeCell ref="G3:J3"/>
    <mergeCell ref="K3:N3"/>
  </mergeCells>
  <pageMargins left="0.7" right="0.7" top="0.75" bottom="0.75" header="0.3" footer="0.3"/>
  <pageSetup paperSize="9"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topLeftCell="A22" workbookViewId="0">
      <selection activeCell="J14" sqref="J14"/>
    </sheetView>
  </sheetViews>
  <sheetFormatPr defaultColWidth="9.140625" defaultRowHeight="15.75"/>
  <cols>
    <col min="1" max="2" width="9.140625" style="11"/>
    <col min="3" max="3" width="54.28515625" style="11" customWidth="1"/>
    <col min="4" max="4" width="16.28515625" style="11" customWidth="1"/>
    <col min="5" max="5" width="23.140625" style="11" customWidth="1"/>
    <col min="6" max="6" width="12.140625" style="11" customWidth="1"/>
    <col min="7" max="7" width="16.85546875" style="11" customWidth="1"/>
    <col min="8" max="8" width="9.140625" style="11"/>
    <col min="9" max="9" width="15.28515625" style="11" customWidth="1"/>
    <col min="10" max="10" width="9.140625" style="11"/>
    <col min="11" max="11" width="13" style="11" customWidth="1"/>
    <col min="12" max="16384" width="9.140625" style="11"/>
  </cols>
  <sheetData>
    <row r="2" spans="2:12" ht="18.75">
      <c r="B2" s="151" t="s">
        <v>61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2:12" ht="15" customHeight="1">
      <c r="J3" s="152" t="s">
        <v>62</v>
      </c>
      <c r="K3" s="152"/>
      <c r="L3" s="152"/>
    </row>
    <row r="4" spans="2:12">
      <c r="B4" s="9"/>
    </row>
    <row r="5" spans="2:12" ht="35.25" customHeight="1">
      <c r="B5" s="150" t="s">
        <v>63</v>
      </c>
      <c r="C5" s="150" t="s">
        <v>64</v>
      </c>
      <c r="D5" s="150" t="s">
        <v>65</v>
      </c>
      <c r="E5" s="150" t="s">
        <v>101</v>
      </c>
      <c r="F5" s="150" t="s">
        <v>66</v>
      </c>
      <c r="G5" s="150" t="s">
        <v>96</v>
      </c>
      <c r="H5" s="150" t="s">
        <v>67</v>
      </c>
      <c r="I5" s="150" t="s">
        <v>68</v>
      </c>
      <c r="J5" s="150" t="s">
        <v>67</v>
      </c>
      <c r="K5" s="150" t="s">
        <v>69</v>
      </c>
      <c r="L5" s="150" t="s">
        <v>67</v>
      </c>
    </row>
    <row r="6" spans="2:12" ht="27.75" customHeight="1"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2:12" ht="16.5" customHeight="1">
      <c r="B7" s="59">
        <v>1</v>
      </c>
      <c r="C7" s="60" t="s">
        <v>70</v>
      </c>
      <c r="D7" s="59">
        <v>150</v>
      </c>
      <c r="E7" s="59">
        <v>90</v>
      </c>
      <c r="F7" s="59">
        <v>900</v>
      </c>
      <c r="G7" s="59">
        <v>860</v>
      </c>
      <c r="H7" s="59">
        <v>96</v>
      </c>
      <c r="I7" s="59">
        <v>40</v>
      </c>
      <c r="J7" s="59">
        <v>4</v>
      </c>
      <c r="K7" s="59" t="s">
        <v>71</v>
      </c>
      <c r="L7" s="59" t="s">
        <v>71</v>
      </c>
    </row>
    <row r="8" spans="2:12" ht="16.5" customHeight="1">
      <c r="B8" s="59">
        <v>2</v>
      </c>
      <c r="C8" s="60" t="s">
        <v>72</v>
      </c>
      <c r="D8" s="59">
        <v>15</v>
      </c>
      <c r="E8" s="59">
        <v>9</v>
      </c>
      <c r="F8" s="59">
        <v>90</v>
      </c>
      <c r="G8" s="59">
        <v>90</v>
      </c>
      <c r="H8" s="59">
        <v>100</v>
      </c>
      <c r="I8" s="59" t="s">
        <v>71</v>
      </c>
      <c r="J8" s="59" t="s">
        <v>71</v>
      </c>
      <c r="K8" s="59" t="s">
        <v>71</v>
      </c>
      <c r="L8" s="59" t="s">
        <v>71</v>
      </c>
    </row>
    <row r="9" spans="2:12" ht="16.5" customHeight="1">
      <c r="B9" s="59">
        <v>3</v>
      </c>
      <c r="C9" s="60" t="s">
        <v>73</v>
      </c>
      <c r="D9" s="59">
        <v>45</v>
      </c>
      <c r="E9" s="59">
        <v>27</v>
      </c>
      <c r="F9" s="59">
        <v>270</v>
      </c>
      <c r="G9" s="59">
        <v>270</v>
      </c>
      <c r="H9" s="59">
        <v>100</v>
      </c>
      <c r="I9" s="59" t="s">
        <v>71</v>
      </c>
      <c r="J9" s="59" t="s">
        <v>71</v>
      </c>
      <c r="K9" s="59" t="s">
        <v>71</v>
      </c>
      <c r="L9" s="59" t="s">
        <v>71</v>
      </c>
    </row>
    <row r="10" spans="2:12" ht="16.5" customHeight="1">
      <c r="B10" s="59">
        <v>4</v>
      </c>
      <c r="C10" s="60" t="s">
        <v>74</v>
      </c>
      <c r="D10" s="59">
        <v>15</v>
      </c>
      <c r="E10" s="59">
        <v>9</v>
      </c>
      <c r="F10" s="59">
        <v>90</v>
      </c>
      <c r="G10" s="59">
        <v>90</v>
      </c>
      <c r="H10" s="59">
        <v>100</v>
      </c>
      <c r="I10" s="59" t="s">
        <v>71</v>
      </c>
      <c r="J10" s="59" t="s">
        <v>71</v>
      </c>
      <c r="K10" s="59" t="s">
        <v>71</v>
      </c>
      <c r="L10" s="59" t="s">
        <v>71</v>
      </c>
    </row>
    <row r="11" spans="2:12" ht="16.5" customHeight="1">
      <c r="B11" s="59">
        <v>5</v>
      </c>
      <c r="C11" s="60" t="s">
        <v>75</v>
      </c>
      <c r="D11" s="59">
        <v>187</v>
      </c>
      <c r="E11" s="59">
        <v>112</v>
      </c>
      <c r="F11" s="59">
        <v>1120</v>
      </c>
      <c r="G11" s="59">
        <v>1120</v>
      </c>
      <c r="H11" s="59">
        <v>100</v>
      </c>
      <c r="I11" s="59" t="s">
        <v>71</v>
      </c>
      <c r="J11" s="59" t="s">
        <v>71</v>
      </c>
      <c r="K11" s="59" t="s">
        <v>71</v>
      </c>
      <c r="L11" s="59" t="s">
        <v>71</v>
      </c>
    </row>
    <row r="12" spans="2:12" ht="16.5" customHeight="1">
      <c r="B12" s="59">
        <v>6</v>
      </c>
      <c r="C12" s="60" t="s">
        <v>76</v>
      </c>
      <c r="D12" s="59">
        <v>280</v>
      </c>
      <c r="E12" s="59">
        <v>168</v>
      </c>
      <c r="F12" s="59">
        <v>1680</v>
      </c>
      <c r="G12" s="59">
        <v>1680</v>
      </c>
      <c r="H12" s="59">
        <v>100</v>
      </c>
      <c r="I12" s="59" t="s">
        <v>71</v>
      </c>
      <c r="J12" s="59" t="s">
        <v>71</v>
      </c>
      <c r="K12" s="59" t="s">
        <v>71</v>
      </c>
      <c r="L12" s="59" t="s">
        <v>71</v>
      </c>
    </row>
    <row r="13" spans="2:12" ht="16.5" customHeight="1">
      <c r="B13" s="59">
        <v>7</v>
      </c>
      <c r="C13" s="60" t="s">
        <v>77</v>
      </c>
      <c r="D13" s="59">
        <v>185</v>
      </c>
      <c r="E13" s="59">
        <v>111</v>
      </c>
      <c r="F13" s="59">
        <v>1110</v>
      </c>
      <c r="G13" s="59">
        <v>1200</v>
      </c>
      <c r="H13" s="59">
        <v>108</v>
      </c>
      <c r="I13" s="59" t="s">
        <v>71</v>
      </c>
      <c r="J13" s="59" t="s">
        <v>71</v>
      </c>
      <c r="K13" s="59">
        <v>90</v>
      </c>
      <c r="L13" s="59">
        <v>8</v>
      </c>
    </row>
    <row r="14" spans="2:12" ht="16.5" customHeight="1">
      <c r="B14" s="59">
        <v>8</v>
      </c>
      <c r="C14" s="60" t="s">
        <v>78</v>
      </c>
      <c r="D14" s="59">
        <v>15</v>
      </c>
      <c r="E14" s="59">
        <v>9</v>
      </c>
      <c r="F14" s="59">
        <v>90</v>
      </c>
      <c r="G14" s="59">
        <v>90</v>
      </c>
      <c r="H14" s="59">
        <v>100</v>
      </c>
      <c r="I14" s="59" t="s">
        <v>71</v>
      </c>
      <c r="J14" s="59" t="s">
        <v>71</v>
      </c>
      <c r="K14" s="59" t="s">
        <v>71</v>
      </c>
      <c r="L14" s="59" t="s">
        <v>71</v>
      </c>
    </row>
    <row r="15" spans="2:12" ht="16.5" customHeight="1">
      <c r="B15" s="59">
        <v>9</v>
      </c>
      <c r="C15" s="60" t="s">
        <v>79</v>
      </c>
      <c r="D15" s="59">
        <v>200</v>
      </c>
      <c r="E15" s="59">
        <v>120</v>
      </c>
      <c r="F15" s="59">
        <v>1200</v>
      </c>
      <c r="G15" s="59">
        <v>1200</v>
      </c>
      <c r="H15" s="59">
        <v>100</v>
      </c>
      <c r="I15" s="59" t="s">
        <v>71</v>
      </c>
      <c r="J15" s="59" t="s">
        <v>71</v>
      </c>
      <c r="K15" s="59" t="s">
        <v>71</v>
      </c>
      <c r="L15" s="59" t="s">
        <v>71</v>
      </c>
    </row>
    <row r="16" spans="2:12" ht="16.5" customHeight="1">
      <c r="B16" s="59">
        <v>10</v>
      </c>
      <c r="C16" s="60" t="s">
        <v>80</v>
      </c>
      <c r="D16" s="59">
        <v>70</v>
      </c>
      <c r="E16" s="59">
        <v>42</v>
      </c>
      <c r="F16" s="59">
        <v>420</v>
      </c>
      <c r="G16" s="59">
        <v>420</v>
      </c>
      <c r="H16" s="59">
        <v>100</v>
      </c>
      <c r="I16" s="59" t="s">
        <v>71</v>
      </c>
      <c r="J16" s="59" t="s">
        <v>71</v>
      </c>
      <c r="K16" s="59" t="s">
        <v>71</v>
      </c>
      <c r="L16" s="59" t="s">
        <v>71</v>
      </c>
    </row>
    <row r="17" spans="2:12" ht="16.5" customHeight="1">
      <c r="B17" s="59">
        <v>11</v>
      </c>
      <c r="C17" s="60" t="s">
        <v>81</v>
      </c>
      <c r="D17" s="59">
        <v>35</v>
      </c>
      <c r="E17" s="59">
        <v>21</v>
      </c>
      <c r="F17" s="59">
        <v>210</v>
      </c>
      <c r="G17" s="59">
        <v>210</v>
      </c>
      <c r="H17" s="59">
        <v>100</v>
      </c>
      <c r="I17" s="59" t="s">
        <v>71</v>
      </c>
      <c r="J17" s="59" t="s">
        <v>71</v>
      </c>
      <c r="K17" s="59" t="s">
        <v>71</v>
      </c>
      <c r="L17" s="59" t="s">
        <v>71</v>
      </c>
    </row>
    <row r="18" spans="2:12" ht="16.5" customHeight="1">
      <c r="B18" s="59">
        <v>12</v>
      </c>
      <c r="C18" s="60" t="s">
        <v>82</v>
      </c>
      <c r="D18" s="59">
        <v>58</v>
      </c>
      <c r="E18" s="59">
        <v>35</v>
      </c>
      <c r="F18" s="59">
        <v>350</v>
      </c>
      <c r="G18" s="59">
        <v>280</v>
      </c>
      <c r="H18" s="59">
        <v>80</v>
      </c>
      <c r="I18" s="59">
        <v>70</v>
      </c>
      <c r="J18" s="59">
        <v>20</v>
      </c>
      <c r="K18" s="59" t="s">
        <v>71</v>
      </c>
      <c r="L18" s="59" t="s">
        <v>71</v>
      </c>
    </row>
    <row r="19" spans="2:12" ht="16.5" customHeight="1">
      <c r="B19" s="59">
        <v>13</v>
      </c>
      <c r="C19" s="60" t="s">
        <v>83</v>
      </c>
      <c r="D19" s="59">
        <v>300</v>
      </c>
      <c r="E19" s="59">
        <v>180</v>
      </c>
      <c r="F19" s="59">
        <v>1800</v>
      </c>
      <c r="G19" s="59">
        <v>1600</v>
      </c>
      <c r="H19" s="59">
        <v>89</v>
      </c>
      <c r="I19" s="59">
        <v>200</v>
      </c>
      <c r="J19" s="59">
        <v>11</v>
      </c>
      <c r="K19" s="59" t="s">
        <v>71</v>
      </c>
      <c r="L19" s="59" t="s">
        <v>71</v>
      </c>
    </row>
    <row r="20" spans="2:12" ht="16.5" customHeight="1">
      <c r="B20" s="59">
        <v>14</v>
      </c>
      <c r="C20" s="60" t="s">
        <v>84</v>
      </c>
      <c r="D20" s="59">
        <v>50</v>
      </c>
      <c r="E20" s="59">
        <v>30</v>
      </c>
      <c r="F20" s="59">
        <v>300</v>
      </c>
      <c r="G20" s="59">
        <v>300</v>
      </c>
      <c r="H20" s="59">
        <v>100</v>
      </c>
      <c r="I20" s="59" t="s">
        <v>71</v>
      </c>
      <c r="J20" s="59" t="s">
        <v>71</v>
      </c>
      <c r="K20" s="59" t="s">
        <v>71</v>
      </c>
      <c r="L20" s="59" t="s">
        <v>71</v>
      </c>
    </row>
    <row r="21" spans="2:12" ht="16.5" customHeight="1">
      <c r="B21" s="59">
        <v>15</v>
      </c>
      <c r="C21" s="60" t="s">
        <v>85</v>
      </c>
      <c r="D21" s="59">
        <v>10</v>
      </c>
      <c r="E21" s="59">
        <v>6</v>
      </c>
      <c r="F21" s="59">
        <v>60</v>
      </c>
      <c r="G21" s="59">
        <v>64</v>
      </c>
      <c r="H21" s="59">
        <v>116</v>
      </c>
      <c r="I21" s="59" t="s">
        <v>71</v>
      </c>
      <c r="J21" s="59" t="s">
        <v>71</v>
      </c>
      <c r="K21" s="59">
        <v>4</v>
      </c>
      <c r="L21" s="59">
        <v>16</v>
      </c>
    </row>
    <row r="22" spans="2:12" ht="16.5" customHeight="1">
      <c r="B22" s="59">
        <v>16</v>
      </c>
      <c r="C22" s="60" t="s">
        <v>86</v>
      </c>
      <c r="D22" s="59">
        <v>10</v>
      </c>
      <c r="E22" s="59">
        <v>6</v>
      </c>
      <c r="F22" s="59">
        <v>60</v>
      </c>
      <c r="G22" s="59">
        <v>60</v>
      </c>
      <c r="H22" s="59">
        <v>100</v>
      </c>
      <c r="I22" s="59" t="s">
        <v>71</v>
      </c>
      <c r="J22" s="59" t="s">
        <v>71</v>
      </c>
      <c r="K22" s="59" t="s">
        <v>71</v>
      </c>
      <c r="L22" s="59" t="s">
        <v>71</v>
      </c>
    </row>
    <row r="23" spans="2:12" ht="16.5" customHeight="1">
      <c r="B23" s="59">
        <v>17</v>
      </c>
      <c r="C23" s="60" t="s">
        <v>87</v>
      </c>
      <c r="D23" s="59">
        <v>30</v>
      </c>
      <c r="E23" s="59">
        <v>18</v>
      </c>
      <c r="F23" s="59">
        <v>180</v>
      </c>
      <c r="G23" s="59">
        <v>180</v>
      </c>
      <c r="H23" s="59">
        <v>100</v>
      </c>
      <c r="I23" s="59" t="s">
        <v>71</v>
      </c>
      <c r="J23" s="59" t="s">
        <v>71</v>
      </c>
      <c r="K23" s="59" t="s">
        <v>71</v>
      </c>
      <c r="L23" s="59" t="s">
        <v>71</v>
      </c>
    </row>
    <row r="24" spans="2:12" ht="16.5" customHeight="1">
      <c r="B24" s="59">
        <v>18</v>
      </c>
      <c r="C24" s="60" t="s">
        <v>88</v>
      </c>
      <c r="D24" s="59">
        <v>15</v>
      </c>
      <c r="E24" s="59">
        <v>9</v>
      </c>
      <c r="F24" s="59">
        <v>90</v>
      </c>
      <c r="G24" s="59">
        <v>90</v>
      </c>
      <c r="H24" s="59">
        <v>100</v>
      </c>
      <c r="I24" s="59" t="s">
        <v>71</v>
      </c>
      <c r="J24" s="59" t="s">
        <v>71</v>
      </c>
      <c r="K24" s="59" t="s">
        <v>71</v>
      </c>
      <c r="L24" s="59" t="s">
        <v>71</v>
      </c>
    </row>
    <row r="25" spans="2:12" ht="16.5" customHeight="1">
      <c r="B25" s="59">
        <v>19</v>
      </c>
      <c r="C25" s="60" t="s">
        <v>89</v>
      </c>
      <c r="D25" s="59" t="s">
        <v>90</v>
      </c>
      <c r="E25" s="59">
        <v>24</v>
      </c>
      <c r="F25" s="59">
        <v>240</v>
      </c>
      <c r="G25" s="59">
        <v>240</v>
      </c>
      <c r="H25" s="59">
        <v>100</v>
      </c>
      <c r="I25" s="59" t="s">
        <v>71</v>
      </c>
      <c r="J25" s="59" t="s">
        <v>71</v>
      </c>
      <c r="K25" s="59" t="s">
        <v>71</v>
      </c>
      <c r="L25" s="59" t="s">
        <v>71</v>
      </c>
    </row>
    <row r="26" spans="2:12" ht="16.5" customHeight="1">
      <c r="B26" s="59">
        <v>20</v>
      </c>
      <c r="C26" s="60" t="s">
        <v>91</v>
      </c>
      <c r="D26" s="59">
        <v>30</v>
      </c>
      <c r="E26" s="59">
        <v>18</v>
      </c>
      <c r="F26" s="59">
        <v>180</v>
      </c>
      <c r="G26" s="59">
        <v>180</v>
      </c>
      <c r="H26" s="59">
        <v>100</v>
      </c>
      <c r="I26" s="59" t="s">
        <v>71</v>
      </c>
      <c r="J26" s="59" t="s">
        <v>71</v>
      </c>
      <c r="K26" s="59" t="s">
        <v>71</v>
      </c>
      <c r="L26" s="59" t="s">
        <v>71</v>
      </c>
    </row>
    <row r="27" spans="2:12" ht="16.5" customHeight="1">
      <c r="B27" s="59">
        <v>21</v>
      </c>
      <c r="C27" s="60" t="s">
        <v>92</v>
      </c>
      <c r="D27" s="59">
        <v>10</v>
      </c>
      <c r="E27" s="59">
        <v>6</v>
      </c>
      <c r="F27" s="59">
        <v>60</v>
      </c>
      <c r="G27" s="59">
        <v>40</v>
      </c>
      <c r="H27" s="59">
        <v>67</v>
      </c>
      <c r="I27" s="59">
        <v>20</v>
      </c>
      <c r="J27" s="59">
        <v>33</v>
      </c>
      <c r="K27" s="59" t="s">
        <v>71</v>
      </c>
      <c r="L27" s="59" t="s">
        <v>71</v>
      </c>
    </row>
    <row r="28" spans="2:12" ht="16.5" customHeight="1">
      <c r="B28" s="59">
        <v>22</v>
      </c>
      <c r="C28" s="60" t="s">
        <v>93</v>
      </c>
      <c r="D28" s="59">
        <v>1</v>
      </c>
      <c r="E28" s="59">
        <v>0.6</v>
      </c>
      <c r="F28" s="59">
        <v>6</v>
      </c>
      <c r="G28" s="59">
        <v>6</v>
      </c>
      <c r="H28" s="59">
        <v>100</v>
      </c>
      <c r="I28" s="59" t="s">
        <v>71</v>
      </c>
      <c r="J28" s="59" t="s">
        <v>71</v>
      </c>
      <c r="K28" s="59" t="s">
        <v>71</v>
      </c>
      <c r="L28" s="59" t="s">
        <v>71</v>
      </c>
    </row>
    <row r="29" spans="2:12" ht="16.5" customHeight="1">
      <c r="B29" s="59">
        <v>23</v>
      </c>
      <c r="C29" s="60" t="s">
        <v>94</v>
      </c>
      <c r="D29" s="59">
        <v>0.2</v>
      </c>
      <c r="E29" s="59">
        <v>0.12</v>
      </c>
      <c r="F29" s="59">
        <v>1.2</v>
      </c>
      <c r="G29" s="59">
        <v>1.2</v>
      </c>
      <c r="H29" s="59">
        <v>100</v>
      </c>
      <c r="I29" s="59" t="s">
        <v>71</v>
      </c>
      <c r="J29" s="59" t="s">
        <v>71</v>
      </c>
      <c r="K29" s="59" t="s">
        <v>71</v>
      </c>
      <c r="L29" s="59" t="s">
        <v>71</v>
      </c>
    </row>
    <row r="30" spans="2:12" ht="16.5" customHeight="1">
      <c r="B30" s="59">
        <v>24</v>
      </c>
      <c r="C30" s="60" t="s">
        <v>95</v>
      </c>
      <c r="D30" s="59">
        <v>3</v>
      </c>
      <c r="E30" s="59">
        <v>1.8</v>
      </c>
      <c r="F30" s="59">
        <v>18</v>
      </c>
      <c r="G30" s="59">
        <v>18</v>
      </c>
      <c r="H30" s="59">
        <v>100</v>
      </c>
      <c r="I30" s="59" t="s">
        <v>71</v>
      </c>
      <c r="J30" s="59" t="s">
        <v>71</v>
      </c>
      <c r="K30" s="59" t="s">
        <v>71</v>
      </c>
      <c r="L30" s="59" t="s">
        <v>71</v>
      </c>
    </row>
    <row r="31" spans="2:12">
      <c r="B31" s="10"/>
    </row>
  </sheetData>
  <mergeCells count="13">
    <mergeCell ref="K5:K6"/>
    <mergeCell ref="L5:L6"/>
    <mergeCell ref="B2:L2"/>
    <mergeCell ref="J3:L3"/>
    <mergeCell ref="E5:E6"/>
    <mergeCell ref="D5:D6"/>
    <mergeCell ref="G5:G6"/>
    <mergeCell ref="B5:B6"/>
    <mergeCell ref="C5:C6"/>
    <mergeCell ref="F5:F6"/>
    <mergeCell ref="H5:H6"/>
    <mergeCell ref="I5:I6"/>
    <mergeCell ref="J5:J6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>
      <selection activeCell="A14" sqref="A14"/>
    </sheetView>
  </sheetViews>
  <sheetFormatPr defaultColWidth="9.140625" defaultRowHeight="18.75"/>
  <cols>
    <col min="1" max="1" width="141.7109375" style="14" customWidth="1"/>
    <col min="2" max="16384" width="9.140625" style="14"/>
  </cols>
  <sheetData>
    <row r="1" spans="1:1">
      <c r="A1" s="13" t="s">
        <v>102</v>
      </c>
    </row>
    <row r="2" spans="1:1" s="18" customFormat="1" ht="33">
      <c r="A2" s="17" t="s">
        <v>103</v>
      </c>
    </row>
    <row r="3" spans="1:1" s="18" customFormat="1" ht="33">
      <c r="A3" s="17" t="s">
        <v>104</v>
      </c>
    </row>
    <row r="4" spans="1:1" s="18" customFormat="1" ht="33">
      <c r="A4" s="17" t="s">
        <v>105</v>
      </c>
    </row>
    <row r="5" spans="1:1" s="18" customFormat="1" ht="33">
      <c r="A5" s="17" t="s">
        <v>106</v>
      </c>
    </row>
    <row r="6" spans="1:1" s="18" customFormat="1" ht="33">
      <c r="A6" s="17" t="s">
        <v>107</v>
      </c>
    </row>
    <row r="7" spans="1:1" s="18" customFormat="1" ht="33">
      <c r="A7" s="17" t="s">
        <v>108</v>
      </c>
    </row>
    <row r="8" spans="1:1" s="18" customFormat="1" ht="16.5">
      <c r="A8" s="19" t="s">
        <v>109</v>
      </c>
    </row>
    <row r="9" spans="1:1" s="18" customFormat="1" ht="16.5">
      <c r="A9" s="19" t="s">
        <v>110</v>
      </c>
    </row>
    <row r="10" spans="1:1" s="18" customFormat="1" ht="33">
      <c r="A10" s="20" t="s">
        <v>249</v>
      </c>
    </row>
    <row r="11" spans="1:1">
      <c r="A11" s="16"/>
    </row>
    <row r="12" spans="1:1">
      <c r="A12" s="15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5"/>
  <sheetViews>
    <sheetView workbookViewId="0">
      <selection activeCell="A20" sqref="A20:J20"/>
    </sheetView>
  </sheetViews>
  <sheetFormatPr defaultColWidth="9.140625" defaultRowHeight="15"/>
  <cols>
    <col min="1" max="1" width="36.28515625" style="52" customWidth="1"/>
    <col min="2" max="6" width="9.140625" style="52"/>
    <col min="7" max="8" width="10.7109375" style="52" customWidth="1"/>
    <col min="9" max="9" width="9.5703125" style="52" customWidth="1"/>
    <col min="10" max="16384" width="9.140625" style="52"/>
  </cols>
  <sheetData>
    <row r="2" spans="1:10">
      <c r="A2" s="57" t="s">
        <v>152</v>
      </c>
    </row>
    <row r="3" spans="1:10" ht="15.75">
      <c r="A3" s="54"/>
      <c r="B3" s="54"/>
      <c r="C3" s="154" t="s">
        <v>151</v>
      </c>
      <c r="D3" s="154"/>
      <c r="E3" s="154" t="s">
        <v>138</v>
      </c>
      <c r="F3" s="154"/>
      <c r="G3" s="154" t="s">
        <v>139</v>
      </c>
      <c r="H3" s="154"/>
      <c r="I3" s="154" t="s">
        <v>140</v>
      </c>
      <c r="J3" s="154"/>
    </row>
    <row r="4" spans="1:10" ht="15.75">
      <c r="A4" s="54"/>
      <c r="B4" s="54"/>
      <c r="C4" s="55" t="s">
        <v>145</v>
      </c>
      <c r="D4" s="55" t="s">
        <v>146</v>
      </c>
      <c r="E4" s="55" t="s">
        <v>145</v>
      </c>
      <c r="F4" s="55" t="s">
        <v>146</v>
      </c>
      <c r="G4" s="55" t="s">
        <v>145</v>
      </c>
      <c r="H4" s="55" t="s">
        <v>146</v>
      </c>
      <c r="I4" s="55" t="s">
        <v>145</v>
      </c>
      <c r="J4" s="55" t="s">
        <v>146</v>
      </c>
    </row>
    <row r="5" spans="1:10" ht="15.75">
      <c r="A5" s="54" t="s">
        <v>141</v>
      </c>
      <c r="B5" s="54" t="s">
        <v>144</v>
      </c>
      <c r="C5" s="54">
        <f>77*20/100</f>
        <v>15.4</v>
      </c>
      <c r="D5" s="54">
        <f>77*25/100</f>
        <v>19.25</v>
      </c>
      <c r="E5" s="54">
        <f>79*20/100</f>
        <v>15.8</v>
      </c>
      <c r="F5" s="54">
        <f>79*25/100</f>
        <v>19.75</v>
      </c>
      <c r="G5" s="54">
        <f>335*20/100</f>
        <v>67</v>
      </c>
      <c r="H5" s="54">
        <f>335*25/100</f>
        <v>83.75</v>
      </c>
      <c r="I5" s="54">
        <f>2350*20/100</f>
        <v>470</v>
      </c>
      <c r="J5" s="54">
        <f>2350*25/100</f>
        <v>587.5</v>
      </c>
    </row>
    <row r="6" spans="1:10" ht="15.75">
      <c r="A6" s="54" t="s">
        <v>142</v>
      </c>
      <c r="B6" s="54" t="s">
        <v>147</v>
      </c>
      <c r="C6" s="54">
        <f>77*30/100</f>
        <v>23.1</v>
      </c>
      <c r="D6" s="54">
        <f>77*35/100</f>
        <v>26.95</v>
      </c>
      <c r="E6" s="54">
        <f>79*30/100</f>
        <v>23.7</v>
      </c>
      <c r="F6" s="54">
        <f>79*35/100</f>
        <v>27.65</v>
      </c>
      <c r="G6" s="54">
        <f>335*30/100</f>
        <v>100.5</v>
      </c>
      <c r="H6" s="54">
        <f>335*35/100</f>
        <v>117.25</v>
      </c>
      <c r="I6" s="54">
        <f>2350*30/100</f>
        <v>705</v>
      </c>
      <c r="J6" s="54">
        <f>2350*35/100</f>
        <v>822.5</v>
      </c>
    </row>
    <row r="7" spans="1:10" ht="15.75">
      <c r="A7" s="54" t="s">
        <v>143</v>
      </c>
      <c r="B7" s="54" t="s">
        <v>148</v>
      </c>
      <c r="C7" s="54">
        <f>77*10/100</f>
        <v>7.7</v>
      </c>
      <c r="D7" s="54">
        <f>77*15/100</f>
        <v>11.55</v>
      </c>
      <c r="E7" s="54">
        <f>79*10/100</f>
        <v>7.9</v>
      </c>
      <c r="F7" s="54">
        <f>79*15/100</f>
        <v>11.85</v>
      </c>
      <c r="G7" s="54">
        <f>335*10/100</f>
        <v>33.5</v>
      </c>
      <c r="H7" s="54">
        <f>335*15/100</f>
        <v>50.25</v>
      </c>
      <c r="I7" s="54">
        <f>2350*10/100</f>
        <v>235</v>
      </c>
      <c r="J7" s="54">
        <f>2350*15/100</f>
        <v>352.5</v>
      </c>
    </row>
    <row r="8" spans="1:10" ht="15.75">
      <c r="A8" s="54" t="s">
        <v>149</v>
      </c>
      <c r="B8" s="54" t="s">
        <v>150</v>
      </c>
      <c r="C8" s="54">
        <f>SUM(C5:C7)</f>
        <v>46.2</v>
      </c>
      <c r="D8" s="54">
        <f t="shared" ref="D8:J8" si="0">SUM(D5:D7)</f>
        <v>57.75</v>
      </c>
      <c r="E8" s="54">
        <f t="shared" si="0"/>
        <v>47.4</v>
      </c>
      <c r="F8" s="54">
        <f t="shared" si="0"/>
        <v>59.25</v>
      </c>
      <c r="G8" s="54">
        <f t="shared" si="0"/>
        <v>201</v>
      </c>
      <c r="H8" s="54">
        <f t="shared" si="0"/>
        <v>251.25</v>
      </c>
      <c r="I8" s="54">
        <f t="shared" si="0"/>
        <v>1410</v>
      </c>
      <c r="J8" s="54">
        <f t="shared" si="0"/>
        <v>1762.5</v>
      </c>
    </row>
    <row r="9" spans="1:10">
      <c r="C9" s="53"/>
    </row>
    <row r="10" spans="1:10">
      <c r="A10" s="52" t="s">
        <v>153</v>
      </c>
    </row>
    <row r="11" spans="1:10" ht="15.75">
      <c r="A11" s="54"/>
      <c r="B11" s="54"/>
      <c r="C11" s="154" t="s">
        <v>151</v>
      </c>
      <c r="D11" s="154"/>
      <c r="E11" s="154" t="s">
        <v>138</v>
      </c>
      <c r="F11" s="154"/>
      <c r="G11" s="154" t="s">
        <v>139</v>
      </c>
      <c r="H11" s="154"/>
      <c r="I11" s="154" t="s">
        <v>140</v>
      </c>
      <c r="J11" s="154"/>
    </row>
    <row r="12" spans="1:10" ht="15.75">
      <c r="A12" s="54"/>
      <c r="B12" s="54"/>
      <c r="C12" s="56" t="s">
        <v>145</v>
      </c>
      <c r="D12" s="56" t="s">
        <v>146</v>
      </c>
      <c r="E12" s="56" t="s">
        <v>145</v>
      </c>
      <c r="F12" s="56" t="s">
        <v>146</v>
      </c>
      <c r="G12" s="56" t="s">
        <v>145</v>
      </c>
      <c r="H12" s="56" t="s">
        <v>146</v>
      </c>
      <c r="I12" s="56" t="s">
        <v>145</v>
      </c>
      <c r="J12" s="56" t="s">
        <v>146</v>
      </c>
    </row>
    <row r="13" spans="1:10" ht="15.75">
      <c r="A13" s="54" t="s">
        <v>141</v>
      </c>
      <c r="B13" s="54" t="s">
        <v>144</v>
      </c>
      <c r="C13" s="54">
        <f>90*20/100</f>
        <v>18</v>
      </c>
      <c r="D13" s="54">
        <f>90*25/100</f>
        <v>22.5</v>
      </c>
      <c r="E13" s="54">
        <f>92*20/100</f>
        <v>18.399999999999999</v>
      </c>
      <c r="F13" s="54">
        <f>92*25/100</f>
        <v>23</v>
      </c>
      <c r="G13" s="54">
        <f>383*20/100</f>
        <v>76.599999999999994</v>
      </c>
      <c r="H13" s="54">
        <f>383*25/100</f>
        <v>95.75</v>
      </c>
      <c r="I13" s="54">
        <f>2720*20/100</f>
        <v>544</v>
      </c>
      <c r="J13" s="54">
        <f>2350*25/100</f>
        <v>587.5</v>
      </c>
    </row>
    <row r="14" spans="1:10" ht="15.75">
      <c r="A14" s="54" t="s">
        <v>142</v>
      </c>
      <c r="B14" s="54" t="s">
        <v>147</v>
      </c>
      <c r="C14" s="54">
        <f>90*30/100</f>
        <v>27</v>
      </c>
      <c r="D14" s="54">
        <f>90*35/100</f>
        <v>31.5</v>
      </c>
      <c r="E14" s="54">
        <f>92*30/100</f>
        <v>27.6</v>
      </c>
      <c r="F14" s="54">
        <f>92*35/100</f>
        <v>32.200000000000003</v>
      </c>
      <c r="G14" s="54">
        <f>383*30/100</f>
        <v>114.9</v>
      </c>
      <c r="H14" s="54">
        <f>383*35/100</f>
        <v>134.05000000000001</v>
      </c>
      <c r="I14" s="54">
        <f>2720*30/100</f>
        <v>816</v>
      </c>
      <c r="J14" s="54">
        <f>2350*35/100</f>
        <v>822.5</v>
      </c>
    </row>
    <row r="15" spans="1:10" ht="15.75">
      <c r="A15" s="54" t="s">
        <v>143</v>
      </c>
      <c r="B15" s="54" t="s">
        <v>148</v>
      </c>
      <c r="C15" s="54">
        <f>90*10/100</f>
        <v>9</v>
      </c>
      <c r="D15" s="54">
        <f>90*15/100</f>
        <v>13.5</v>
      </c>
      <c r="E15" s="54">
        <f>92*10/100</f>
        <v>9.1999999999999993</v>
      </c>
      <c r="F15" s="54">
        <f>92*15/100</f>
        <v>13.8</v>
      </c>
      <c r="G15" s="54">
        <f>383*10/100</f>
        <v>38.299999999999997</v>
      </c>
      <c r="H15" s="54">
        <f>383*15/100</f>
        <v>57.45</v>
      </c>
      <c r="I15" s="54">
        <f>2720*10/100</f>
        <v>272</v>
      </c>
      <c r="J15" s="54">
        <f>2720*15/100</f>
        <v>408</v>
      </c>
    </row>
    <row r="16" spans="1:10" ht="15.75">
      <c r="A16" s="54" t="s">
        <v>149</v>
      </c>
      <c r="B16" s="54" t="s">
        <v>150</v>
      </c>
      <c r="C16" s="54">
        <f>SUM(C13:C15)</f>
        <v>54</v>
      </c>
      <c r="D16" s="54">
        <f t="shared" ref="D16:J16" si="1">SUM(D13:D15)</f>
        <v>67.5</v>
      </c>
      <c r="E16" s="54">
        <f t="shared" si="1"/>
        <v>55.2</v>
      </c>
      <c r="F16" s="54">
        <f t="shared" si="1"/>
        <v>69</v>
      </c>
      <c r="G16" s="54">
        <f t="shared" si="1"/>
        <v>229.8</v>
      </c>
      <c r="H16" s="54">
        <f t="shared" si="1"/>
        <v>287.25</v>
      </c>
      <c r="I16" s="54">
        <f t="shared" si="1"/>
        <v>1632</v>
      </c>
      <c r="J16" s="54">
        <f t="shared" si="1"/>
        <v>1818</v>
      </c>
    </row>
    <row r="17" spans="1:10">
      <c r="C17" s="52">
        <v>60.42</v>
      </c>
      <c r="E17" s="52">
        <v>63.65</v>
      </c>
      <c r="G17" s="52">
        <v>245.7</v>
      </c>
      <c r="I17" s="52">
        <v>1827.17</v>
      </c>
    </row>
    <row r="20" spans="1:10" ht="83.25" customHeight="1">
      <c r="A20" s="156" t="s">
        <v>154</v>
      </c>
      <c r="B20" s="156"/>
      <c r="C20" s="156"/>
      <c r="D20" s="156"/>
      <c r="E20" s="156"/>
      <c r="F20" s="156"/>
      <c r="G20" s="156"/>
      <c r="H20" s="156"/>
      <c r="I20" s="156"/>
      <c r="J20" s="156"/>
    </row>
    <row r="21" spans="1:10" ht="15.75">
      <c r="A21" s="157"/>
      <c r="B21" s="158"/>
      <c r="C21" s="154" t="s">
        <v>151</v>
      </c>
      <c r="D21" s="154"/>
      <c r="E21" s="154" t="s">
        <v>138</v>
      </c>
      <c r="F21" s="154"/>
      <c r="G21" s="154" t="s">
        <v>139</v>
      </c>
      <c r="H21" s="154"/>
      <c r="I21" s="154" t="s">
        <v>140</v>
      </c>
      <c r="J21" s="154"/>
    </row>
    <row r="22" spans="1:10" ht="15.75">
      <c r="A22" s="154"/>
      <c r="B22" s="154"/>
      <c r="C22" s="56" t="s">
        <v>145</v>
      </c>
      <c r="D22" s="56" t="s">
        <v>146</v>
      </c>
      <c r="E22" s="56" t="s">
        <v>145</v>
      </c>
      <c r="F22" s="56" t="s">
        <v>146</v>
      </c>
      <c r="G22" s="56" t="s">
        <v>145</v>
      </c>
      <c r="H22" s="56" t="s">
        <v>146</v>
      </c>
      <c r="I22" s="56" t="s">
        <v>145</v>
      </c>
      <c r="J22" s="56" t="s">
        <v>146</v>
      </c>
    </row>
    <row r="23" spans="1:10" ht="45" customHeight="1">
      <c r="A23" s="155" t="s">
        <v>156</v>
      </c>
      <c r="B23" s="155"/>
      <c r="C23" s="58">
        <v>46.2</v>
      </c>
      <c r="D23" s="58">
        <v>57.75</v>
      </c>
      <c r="E23" s="58">
        <v>47.4</v>
      </c>
      <c r="F23" s="58">
        <v>59.25</v>
      </c>
      <c r="G23" s="58">
        <v>201</v>
      </c>
      <c r="H23" s="58">
        <v>251.25</v>
      </c>
      <c r="I23" s="58">
        <v>1410</v>
      </c>
      <c r="J23" s="58">
        <v>1762.5</v>
      </c>
    </row>
    <row r="24" spans="1:10" ht="45" customHeight="1">
      <c r="A24" s="155" t="s">
        <v>157</v>
      </c>
      <c r="B24" s="155"/>
      <c r="C24" s="58">
        <v>54</v>
      </c>
      <c r="D24" s="58">
        <v>67.5</v>
      </c>
      <c r="E24" s="58">
        <v>55.2</v>
      </c>
      <c r="F24" s="58">
        <v>69</v>
      </c>
      <c r="G24" s="58">
        <v>229.8</v>
      </c>
      <c r="H24" s="58">
        <v>287.25</v>
      </c>
      <c r="I24" s="58">
        <v>1632</v>
      </c>
      <c r="J24" s="58">
        <v>1818</v>
      </c>
    </row>
    <row r="25" spans="1:10" ht="45" customHeight="1">
      <c r="A25" s="155" t="s">
        <v>155</v>
      </c>
      <c r="B25" s="155"/>
      <c r="C25" s="153">
        <v>60.42</v>
      </c>
      <c r="D25" s="153"/>
      <c r="E25" s="153">
        <v>63.65</v>
      </c>
      <c r="F25" s="153"/>
      <c r="G25" s="153">
        <v>245.7</v>
      </c>
      <c r="H25" s="153"/>
      <c r="I25" s="153">
        <v>1827.17</v>
      </c>
      <c r="J25" s="153"/>
    </row>
  </sheetData>
  <mergeCells count="22">
    <mergeCell ref="G3:H3"/>
    <mergeCell ref="E3:F3"/>
    <mergeCell ref="C3:D3"/>
    <mergeCell ref="I3:J3"/>
    <mergeCell ref="C11:D11"/>
    <mergeCell ref="E11:F11"/>
    <mergeCell ref="G11:H11"/>
    <mergeCell ref="I11:J11"/>
    <mergeCell ref="A20:J20"/>
    <mergeCell ref="C21:D21"/>
    <mergeCell ref="E21:F21"/>
    <mergeCell ref="G21:H21"/>
    <mergeCell ref="I21:J21"/>
    <mergeCell ref="A21:B21"/>
    <mergeCell ref="E25:F25"/>
    <mergeCell ref="G25:H25"/>
    <mergeCell ref="I25:J25"/>
    <mergeCell ref="A22:B22"/>
    <mergeCell ref="A23:B23"/>
    <mergeCell ref="A24:B24"/>
    <mergeCell ref="A25:B25"/>
    <mergeCell ref="C25:D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</vt:lpstr>
      <vt:lpstr>ТИТУЛ 2</vt:lpstr>
      <vt:lpstr>на выход</vt:lpstr>
      <vt:lpstr>сводки БЖУ</vt:lpstr>
      <vt:lpstr>сводки по продуктам</vt:lpstr>
      <vt:lpstr>библиография</vt:lpstr>
      <vt:lpstr>Лист1</vt:lpstr>
      <vt:lpstr>Титул!Область_печати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</dc:creator>
  <cp:lastModifiedBy>Windows User</cp:lastModifiedBy>
  <cp:lastPrinted>2022-11-21T11:45:08Z</cp:lastPrinted>
  <dcterms:created xsi:type="dcterms:W3CDTF">2020-10-25T16:40:18Z</dcterms:created>
  <dcterms:modified xsi:type="dcterms:W3CDTF">2022-11-21T11:49:54Z</dcterms:modified>
</cp:coreProperties>
</file>